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68970ceff648ad46/Documents/Legislative Testimony and Proposals/HB 1336/Selects for Governor Memo/"/>
    </mc:Choice>
  </mc:AlternateContent>
  <xr:revisionPtr revIDLastSave="0" documentId="8_{5C0C1224-8C4C-4C58-A057-35E0CAE59B85}" xr6:coauthVersionLast="47" xr6:coauthVersionMax="47" xr10:uidLastSave="{00000000-0000-0000-0000-000000000000}"/>
  <bookViews>
    <workbookView xWindow="22650" yWindow="-21720" windowWidth="38640" windowHeight="21120" tabRatio="500" xr2:uid="{00000000-000D-0000-FFFF-FFFF00000000}"/>
  </bookViews>
  <sheets>
    <sheet name="Model" sheetId="1" r:id="rId1"/>
    <sheet name="Sensitivity" sheetId="2" r:id="rId2"/>
    <sheet name="Notes &amp; Method" sheetId="3" r:id="rId3"/>
  </sheets>
  <externalReferences>
    <externalReference r:id="rId4"/>
  </externalReferences>
  <definedNames>
    <definedName name="_xlnm.Print_Area" localSheetId="0">Model!$B$1:$T$60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  <c r="C21" i="1"/>
  <c r="C14" i="1"/>
  <c r="C11" i="1"/>
  <c r="C7" i="1"/>
  <c r="B45" i="2"/>
  <c r="B44" i="2"/>
  <c r="B40" i="2"/>
  <c r="F32" i="2"/>
  <c r="E32" i="2"/>
  <c r="D32" i="2"/>
  <c r="C32" i="2"/>
  <c r="B32" i="2"/>
  <c r="F31" i="2"/>
  <c r="E31" i="2"/>
  <c r="D31" i="2"/>
  <c r="C31" i="2"/>
  <c r="B31" i="2"/>
  <c r="F30" i="2"/>
  <c r="E30" i="2"/>
  <c r="D30" i="2"/>
  <c r="C30" i="2"/>
  <c r="B30" i="2"/>
  <c r="F29" i="2"/>
  <c r="E29" i="2"/>
  <c r="D29" i="2"/>
  <c r="C29" i="2"/>
  <c r="B29" i="2"/>
  <c r="F28" i="2"/>
  <c r="E28" i="2"/>
  <c r="D28" i="2"/>
  <c r="C28" i="2"/>
  <c r="B28" i="2"/>
  <c r="E21" i="2"/>
  <c r="D21" i="2"/>
  <c r="C21" i="2"/>
  <c r="B21" i="2"/>
  <c r="E20" i="2"/>
  <c r="D20" i="2"/>
  <c r="C20" i="2"/>
  <c r="B20" i="2"/>
  <c r="E19" i="2"/>
  <c r="D19" i="2"/>
  <c r="C19" i="2"/>
  <c r="B19" i="2"/>
  <c r="E18" i="2"/>
  <c r="D18" i="2"/>
  <c r="C18" i="2"/>
  <c r="B18" i="2"/>
  <c r="E17" i="2"/>
  <c r="D17" i="2"/>
  <c r="C17" i="2"/>
  <c r="B17" i="2"/>
  <c r="E12" i="2"/>
  <c r="D12" i="2"/>
  <c r="C12" i="2"/>
  <c r="B12" i="2"/>
  <c r="E11" i="2"/>
  <c r="D11" i="2"/>
  <c r="C11" i="2"/>
  <c r="B11" i="2"/>
  <c r="E10" i="2"/>
  <c r="D10" i="2"/>
  <c r="C10" i="2"/>
  <c r="B10" i="2"/>
  <c r="E9" i="2"/>
  <c r="D9" i="2"/>
  <c r="C9" i="2"/>
  <c r="B9" i="2"/>
  <c r="E8" i="2"/>
  <c r="D8" i="2"/>
  <c r="C8" i="2"/>
  <c r="B8" i="2"/>
  <c r="B4" i="2"/>
  <c r="F52" i="1" l="1"/>
  <c r="G52" i="1" s="1"/>
  <c r="C38" i="1" s="1"/>
  <c r="F51" i="1"/>
  <c r="G51" i="1" s="1"/>
  <c r="C22" i="1"/>
  <c r="D44" i="2"/>
  <c r="C44" i="2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C45" i="1"/>
  <c r="D45" i="1" s="1"/>
  <c r="F44" i="1"/>
  <c r="G44" i="1" s="1"/>
  <c r="C44" i="1"/>
  <c r="D44" i="1" s="1"/>
  <c r="F43" i="1"/>
  <c r="G43" i="1" s="1"/>
  <c r="H43" i="1" s="1"/>
  <c r="H44" i="1" s="1"/>
  <c r="H45" i="1" s="1"/>
  <c r="H46" i="1" s="1"/>
  <c r="H47" i="1" s="1"/>
  <c r="H48" i="1" s="1"/>
  <c r="C43" i="1"/>
  <c r="D43" i="1" s="1"/>
  <c r="E43" i="1" s="1"/>
  <c r="E44" i="1" s="1"/>
  <c r="E45" i="1" s="1"/>
  <c r="D45" i="2"/>
  <c r="C45" i="2"/>
  <c r="B41" i="2" l="1"/>
  <c r="B43" i="2"/>
  <c r="B42" i="2"/>
  <c r="C48" i="1"/>
  <c r="D48" i="1" s="1"/>
  <c r="C47" i="1"/>
  <c r="D47" i="1" s="1"/>
  <c r="C46" i="1"/>
  <c r="D46" i="1" s="1"/>
  <c r="E46" i="1" s="1"/>
  <c r="H49" i="1"/>
  <c r="H50" i="1" s="1"/>
  <c r="H51" i="1" s="1"/>
  <c r="H52" i="1" s="1"/>
  <c r="C34" i="1" s="1"/>
  <c r="C50" i="1"/>
  <c r="D50" i="1" s="1"/>
  <c r="C49" i="1" l="1"/>
  <c r="C51" i="1"/>
  <c r="D51" i="1" s="1"/>
  <c r="C41" i="2"/>
  <c r="D41" i="2"/>
  <c r="C43" i="2"/>
  <c r="D43" i="2"/>
  <c r="C42" i="2"/>
  <c r="D42" i="2"/>
  <c r="E47" i="1"/>
  <c r="E48" i="1" s="1"/>
  <c r="C52" i="1" l="1"/>
  <c r="D52" i="1" s="1"/>
  <c r="C39" i="1" s="1"/>
  <c r="D49" i="1"/>
  <c r="E49" i="1" s="1"/>
  <c r="E50" i="1" s="1"/>
  <c r="E51" i="1" l="1"/>
  <c r="E52" i="1" s="1"/>
  <c r="C35" i="1" s="1"/>
  <c r="C37" i="1" l="1"/>
  <c r="C36" i="1"/>
</calcChain>
</file>

<file path=xl/sharedStrings.xml><?xml version="1.0" encoding="utf-8"?>
<sst xmlns="http://schemas.openxmlformats.org/spreadsheetml/2006/main" count="152" uniqueCount="151">
  <si>
    <t>Sensitivity — incremental impact of HB 1336 vs. do-nothing baseline   (DYNAMIC: every cell recomputes from current Model inputs)</t>
  </si>
  <si>
    <t>Do-nothing baseline: charity funds standard deposits as one-way grants; RCDs do not exist; no recovery applies, so baseline = (net new capital × 10 years) ÷ deposit. HB 1336 baseline: revolving fund supports deposit + RCD where needed, both refundable under §540-A:7, I(b) and recycled.</t>
  </si>
  <si>
    <t>In tables 1–3, recovery rate r and tenancy L apply to HB 1336 only. The do-nothing baseline is independent of r (no recycling possible without §540-A:7, I(b)).</t>
  </si>
  <si>
    <t>Live do-nothing baseline (households / 10 yrs):</t>
  </si>
  <si>
    <t>Table 1 — Reach multiplier (HB 1336 ÷ do nothing)  at the model's current bundle %</t>
  </si>
  <si>
    <t>HB 1336 recovery r \ tenancy L</t>
  </si>
  <si>
    <t>Reach multiplier &gt; 1.0 means HB 1336 serves more households than do-nothing at those parameters. Bundle % is whatever you've set in Model!C10; do-nothing is always live cell B4 above.</t>
  </si>
  <si>
    <t>Table 2 — Cumulative households under HB 1336 over 10 years  at the model's current bundle %</t>
  </si>
  <si>
    <t>Compare each cell to the do-nothing baseline in B4 (live). HB 1336 dominates do-nothing wherever cells in this table exceed the B4 baseline.</t>
  </si>
  <si>
    <t>Table 3 — Bundling sensitivity:  10-year cumulative HH under HB 1336 vs. (bundle %, recovery r) at the model's current L</t>
  </si>
  <si>
    <t>Bundle % is varied here independently of Model!C10 so you can see the full surface. r is the HB 1336 recovery rate (does not apply to do nothing). L is taken from the model (Model!C12).</t>
  </si>
  <si>
    <t>Bundle % \ HB 1336 recovery r</t>
  </si>
  <si>
    <t>Compare every cell to the live do-nothing baseline in B4. HB 1336 falls below do-nothing only where bundling and recovery are simultaneously pessimistic (upper-right corner of the matrix).</t>
  </si>
  <si>
    <t>Table 4 — Headline rebuttal: "we can only help half as many people"  (true do-nothing comparison)</t>
  </si>
  <si>
    <t>The objection compares two things that are not the alternatives the legislature actually chooses between. The real choice is between current law (no RCD, deposit-only grants) and HB 1336 (RCD permitted, both deposit + RCD refundable to third-party payor under §540-A:7, I(b) and recycled). All HB 1336 figures use the model's current L (Model!C12). r values are explicit per row.</t>
  </si>
  <si>
    <t>Scenario</t>
  </si>
  <si>
    <t>Households / 10 yrs</t>
  </si>
  <si>
    <t>vs. do-nothing</t>
  </si>
  <si>
    <t>% vs. do-nothing</t>
  </si>
  <si>
    <t>DO NOTHING (baseline) — grant, deposit-only at current deposit size</t>
  </si>
  <si>
    <t>baseline</t>
  </si>
  <si>
    <t>—</t>
  </si>
  <si>
    <t>HB 1336 at the model's current bundle and current r  ←  live v2.2 defaults</t>
  </si>
  <si>
    <t>HB 1336 at current r, 50% bundle</t>
  </si>
  <si>
    <t>HB 1336 at current r, 100% bundle (worst-case bundling)</t>
  </si>
  <si>
    <t>HB 1336 at 70% r, 100% bundle (very conservative)</t>
  </si>
  <si>
    <t>HB 1336 at 50% r, 50% bundle (deep stress test)</t>
  </si>
  <si>
    <t>Bottom line:</t>
  </si>
  <si>
    <t>At current assumptions the HB 1336 program with bundling outserves the do-nothing baseline by a wide margin. It only falls below the do-nothing baseline when both bundling and recovery are simultaneously pessimistic — a corner case that is neither the central case nor consistent with the TransUnion data. The recycling effect made possible by §540-A:7, I(b) is what flips the bundling penalty from a cost into a net gain.</t>
  </si>
  <si>
    <t>HB 1336 — Third-Party Deposit-Assistance Capital Model (v2)</t>
  </si>
  <si>
    <t>Incremental impact of HB 1336 on private charitable deposit-assistance capital. Baseline = do nothing (charity funds standard deposits as one-way grants; RCDs do not exist). Policy = HB 1336 passes (charity funds deposit + RCD where needed, both refundable to the third-party payor and recycled).</t>
  </si>
  <si>
    <t>INPUTS — Funding &amp; deployment   (edit blue cells)</t>
  </si>
  <si>
    <t>Annual charitable inflow (gross)</t>
  </si>
  <si>
    <t>Donations raised per year before overhead</t>
  </si>
  <si>
    <t>Overhead / admin rate</t>
  </si>
  <si>
    <t>Share of gross consumed by fundraising &amp; administration</t>
  </si>
  <si>
    <t>Net new capital per year</t>
  </si>
  <si>
    <t>inflow × (1 − overhead)</t>
  </si>
  <si>
    <t>Average security deposit (≈ 1 month rent)</t>
  </si>
  <si>
    <t>Capped at 1 month rent under RSA 540-A:6 (existing law)</t>
  </si>
  <si>
    <t>RCD size as multiple of standard deposit</t>
  </si>
  <si>
    <t>HB 1336 caps RCD at one ADDITIONAL month of rent → 1.0×</t>
  </si>
  <si>
    <t>% of assisted households requiring BOTH deposit + RCD</t>
  </si>
  <si>
    <t>Many applicants need only deposit help; subset also fails one of the 5 statutory criteria</t>
  </si>
  <si>
    <t>Average capital deployed per assisted household</t>
  </si>
  <si>
    <t>deposit × (1 + bundle% × RCD multiple)</t>
  </si>
  <si>
    <t>Average tenancy before refund (yrs)  [L]</t>
  </si>
  <si>
    <t>Whole years 1–5; longer L = slower recycling (more conservative)</t>
  </si>
  <si>
    <t>Apply overhead to recycled capital?</t>
  </si>
  <si>
    <t>No</t>
  </si>
  <si>
    <t>No = recycled dollars need no re-fundraising</t>
  </si>
  <si>
    <t>Recycle factor</t>
  </si>
  <si>
    <t>Multiplier applied to returning capital</t>
  </si>
  <si>
    <t>RECOVERY RATE  —  anchored to TransUnion ResidentScore tiers</t>
  </si>
  <si>
    <t>Recovery method  ("Tier-weighted" or "Manual override")</t>
  </si>
  <si>
    <t>Tier-weighted</t>
  </si>
  <si>
    <t>Type "Manual override" in B17 to use the flat r below instead of the tier-weighted calc</t>
  </si>
  <si>
    <t>Manual override recovery rate r  (used only if Manual override)</t>
  </si>
  <si>
    <t>Falls back to the original v1 default of 70% for very-conservative scenarios</t>
  </si>
  <si>
    <t>Loss-given-eviction (share of held deposit + RCD consumed when eviction occurs)</t>
  </si>
  <si>
    <t>100% = full impound when an eviction is filed and reduced to judgment</t>
  </si>
  <si>
    <t>Base non-recovery (lawful deductions absent eviction — wear, cleaning, damages)</t>
  </si>
  <si>
    <t>Average across non-evicted tenancies; 5–15% is a defensible range</t>
  </si>
  <si>
    <t>Population-weighted eviction rate</t>
  </si>
  <si>
    <t>From credit-tier table below; depends on the population mix you assume</t>
  </si>
  <si>
    <t>Effective recovery rate r  (used in year-by-year model)</t>
  </si>
  <si>
    <t>r = 1 − (weighted eviction × LGE) − base non-recovery</t>
  </si>
  <si>
    <t>Credit-tier reference  (TransUnion ResidentScore — see v9 Policy Analysis §3)</t>
  </si>
  <si>
    <t>ResidentScore tier</t>
  </si>
  <si>
    <t>Eviction rate</t>
  </si>
  <si>
    <t>Population mix  (edit to match served population)</t>
  </si>
  <si>
    <t>350–449</t>
  </si>
  <si>
    <t>450–499</t>
  </si>
  <si>
    <t>500–549</t>
  </si>
  <si>
    <t>550–649</t>
  </si>
  <si>
    <t>650–749</t>
  </si>
  <si>
    <t>Population mix total (must equal 100%)</t>
  </si>
  <si>
    <t>RESULTS — 10-year horizon  (do nothing vs. HB 1336 passes)</t>
  </si>
  <si>
    <t>Cumulative households — DO NOTHING (grant, deposit-only)</t>
  </si>
  <si>
    <t>Cumulative households — HB 1336 PASSES (revolving, deposit + RCD where needed)</t>
  </si>
  <si>
    <t>Incremental households from HB 1336</t>
  </si>
  <si>
    <t>Reach multiplier (HB 1336 ÷ do nothing)</t>
  </si>
  <si>
    <t>Year-10 annual capacity — do nothing</t>
  </si>
  <si>
    <t>Year-10 annual capacity — HB 1336</t>
  </si>
  <si>
    <t>YEAR-BY-YEAR</t>
  </si>
  <si>
    <t>Year</t>
  </si>
  <si>
    <t>HB 1336:
capital deployed</t>
  </si>
  <si>
    <t>HB 1336:
households</t>
  </si>
  <si>
    <t>HB 1336:
cumulative HH</t>
  </si>
  <si>
    <t>Do nothing:
grant capital</t>
  </si>
  <si>
    <t>Do nothing:
households</t>
  </si>
  <si>
    <t>Do nothing:
cumulative HH</t>
  </si>
  <si>
    <t>Notes &amp; Method  —  v2.3 (June 2026, dynamic sensitivity tables)</t>
  </si>
  <si>
    <t>WHAT THIS MODEL MEASURES</t>
  </si>
  <si>
    <t>Incremental impact of HB 1336 on what private charitable capital can do for security-deposit assistance.</t>
  </si>
  <si>
    <t>It compares two worlds, not two charity designs:</t>
  </si>
  <si>
    <t xml:space="preserve">   Do nothing  →  current law.  RCDs do not exist; charity funds standard deposits as one-way grants at the deposit size set in Model!C8.</t>
  </si>
  <si>
    <t xml:space="preserve">   HB 1336 passes  →  charity funds deposit + RCD where needed.  Both flow back to the third-party payor under §540-A:7, I(b)</t>
  </si>
  <si>
    <t xml:space="preserve">                    and are recycled into the next household.  Capital per assisted hh = deposit × (1 + bundle% × RCD multiple).</t>
  </si>
  <si>
    <t>METHOD (annual model)</t>
  </si>
  <si>
    <t>HB 1336 (revolving):  capital(t) = net donations + recycle_factor × r × capital(t − L)</t>
  </si>
  <si>
    <t>Do nothing (grant):   capital(t) = net donations every year.  Refund flows to tenant; nothing returns to fund.  Recovery rate is 0% by definition.</t>
  </si>
  <si>
    <t>Households(t) under HB 1336 = capital(t) ÷ [deposit × (1 + bundle% × RCD multiple)]</t>
  </si>
  <si>
    <t>Households(t) under do nothing = capital(t) ÷ deposit  (NO RCD term — RCDs do not exist in this world; no recycling)</t>
  </si>
  <si>
    <t>Effective r (HB 1336 only) = IF(method = "Manual override", manual r, MAX(0, 1 − weighted eviction × LGE − base non-recovery))</t>
  </si>
  <si>
    <t>Weighted eviction = SUMPRODUCT(tier eviction rates, population mix)</t>
  </si>
  <si>
    <t>WHAT CHANGED FROM v2.2 → v2.3</t>
  </si>
  <si>
    <t>1. Sensitivity tables are now DYNAMIC.  Every cell in Sensitivity uses a closed-form Excel formula that references the live</t>
  </si>
  <si>
    <t xml:space="preserve">   Model inputs (net donations, deposit, RCD multiple, bundle, recovery rate, tenancy).  Change any input on the Model sheet</t>
  </si>
  <si>
    <t xml:space="preserve">   and every Sensitivity number updates immediately.  Hard-coded scenario numbers are gone.</t>
  </si>
  <si>
    <t>2. Do-nothing baseline is now shown explicitly as a live cell at Sensitivity!B4 = Model!C7 × 10 ÷ Model!C8.</t>
  </si>
  <si>
    <t xml:space="preserve">   It is independent of HB 1336's recovery rate r and tenancy L (no recycling possible without §540-A:7, I(b)).</t>
  </si>
  <si>
    <t>3. Table 4 scenarios reference the live r at Model!C22 by default and only hard-code stress-test r values for explicit comparisons.</t>
  </si>
  <si>
    <t>CLOSED-FORM FORMULA USED IN SENSITIVITY</t>
  </si>
  <si>
    <t>Total revolving capital over H years, given r and L:</t>
  </si>
  <si>
    <t xml:space="preserve">   TotalCap(r, L, H) = NET / (1 − r) × ( H − Σ_{t=1..H} r^( floor((t−1)/L) + 1 ) )</t>
  </si>
  <si>
    <t>In Excel:  =NET/(1−r)*(H − SUMPRODUCT(POWER(r, INT((ROW(INDIRECT("1:"&amp;H))−1)/L)+1)))</t>
  </si>
  <si>
    <t>(H is hard-coded at 10 in the Sensitivity sheet to match the model horizon.  If you change the horizon in the year-by-year, update Sensitivity to match.)</t>
  </si>
  <si>
    <t>CREDIT-TIER ANCHOR  (TransUnion ResidentScore, see v9 Policy Analysis §3)</t>
  </si>
  <si>
    <t>Tier        Eviction rate    (Default population mix is user-editable on the Model sheet, C26:D30.)</t>
  </si>
  <si>
    <t>350–449     12.3%</t>
  </si>
  <si>
    <t>450–499      9.4%</t>
  </si>
  <si>
    <t>500–549      5.8%</t>
  </si>
  <si>
    <t>550–649      1.3%</t>
  </si>
  <si>
    <t>650–749      0.3%</t>
  </si>
  <si>
    <t>Population mix on the Model sheet drives the weighted eviction rate at Model!C21, which drives the effective r at Model!C22.</t>
  </si>
  <si>
    <t>KEY VARIABLES</t>
  </si>
  <si>
    <t>Bundle %     — fraction of HB 1336-assisted households needing BOTH deposit and RCD.  Drives capital-per-hh under HB 1336.</t>
  </si>
  <si>
    <t xml:space="preserve">               Does NOT affect do-nothing baseline (no RCDs exist to bundle).</t>
  </si>
  <si>
    <t>L            — average tenancy before refund.  Longer L = slower recycling = MORE conservative.  Only matters for HB 1336.</t>
  </si>
  <si>
    <t>r            — recovery rate; either tier-weighted (default) or manual override.  Only matters for HB 1336 scenario.</t>
  </si>
  <si>
    <t xml:space="preserve">               Do-nothing recovery is 0% by definition (the refund goes to the tenant, not back to the fund).</t>
  </si>
  <si>
    <t>LGE          — loss-given-eviction. 100% assumes the entire held deposit (+ RCD if applicable) is consumed when an eviction is reduced to judgment.</t>
  </si>
  <si>
    <t>Base non-recovery — average lawful deductions in non-evicted tenancies (wear, cleaning, damages).  Defensible range 5–15%.</t>
  </si>
  <si>
    <t>WHAT IS INVARIANT</t>
  </si>
  <si>
    <t>Reach multiplier (HB 1336 ÷ do nothing) = (capital recycling factor) × (1 / (1 + bundle% × RCD multiple)).</t>
  </si>
  <si>
    <t>It depends on r, L, horizon, recycle-overhead toggle, bundle %, and RCD multiple — but NOT on fund size or deposit size.</t>
  </si>
  <si>
    <t>Absolute household counts scale linearly with inflow.</t>
  </si>
  <si>
    <t>REBUTTAL — "we can only help half as many people"</t>
  </si>
  <si>
    <t>Misframes the alternatives.  The choice is not "fund a deposit only vs. fund deposit + RCD."  The choice is "operate under current</t>
  </si>
  <si>
    <t>law where the deposit is a grant vs. operate under HB 1336 where deposit + RCD are recoverable to the funder."  Once the deposit</t>
  </si>
  <si>
    <t>cycle returns to the fund, the recycling effect dominates the bundling penalty over any reasonable horizon.  See Sensitivity</t>
  </si>
  <si>
    <t>Table 4 for the live comparison under the current assumptions.  The HB 1336 scenario falls below the do-nothing baseline only</t>
  </si>
  <si>
    <t>where bundling and recovery are simultaneously pessimistic — a corner case neither central nor consistent with the TransUnion data.</t>
  </si>
  <si>
    <t>TIE TO THE POLICY ANALYSIS</t>
  </si>
  <si>
    <t>At a $2,000 standard deposit and 30% bundle, average capital per assisted household under HB 1336 = $2,600.</t>
  </si>
  <si>
    <t>Under do nothing, capital per assisted household = $2,000 (deposit only; RCDs do not exist).</t>
  </si>
  <si>
    <t>$100,000 funds ≈ 38 HB-1336-assisted households at bundle = 30%, or 50 households under do nothing.</t>
  </si>
  <si>
    <t>But that single-year arithmetic ignores recycling.  Over a 10-year horizon HB 1336 substantially dominates do nothing.</t>
  </si>
  <si>
    <t>CAVEAT</t>
  </si>
  <si>
    <t>Illustrative underwriting model, not a guarantee of outcomes.  Real-world recovery and tenancy vary by program design and population.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</si>
</sst>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\$#,##0"/>
    <numFmt numFmtId="165" formatCode="0.0%"/>
    <numFmt numFmtId="166" formatCode="\+#,##0;\-#,##0;0"/>
    <numFmt numFmtId="167" formatCode="0&quot; yr&quot;"/>
    <numFmt numFmtId="168" formatCode="\+0%;\-0%;0%"/>
  </numFmts>
  <fonts count="17" x14ac:knownFonts="1">
    <font>
      <sz val="11"/>
      <color theme="1"/>
      <name val="Calibri"/>
      <family val="2"/>
      <charset val="1"/>
    </font>
    <font>
      <sz val="11"/>
      <name val="Calibri"/>
    </font>
    <font>
      <b/>
      <sz val="12"/>
      <name val="Calibri"/>
    </font>
    <font>
      <i/>
      <sz val="11"/>
      <color rgb="FF555555"/>
      <name val="Calibri"/>
    </font>
    <font>
      <b/>
      <sz val="11"/>
      <color rgb="FFFFFFFF"/>
      <name val="Calibri"/>
    </font>
    <font>
      <sz val="11"/>
      <color rgb="FF0000FF"/>
      <name val="Calibri"/>
    </font>
    <font>
      <sz val="11"/>
      <color rgb="FF000000"/>
      <name val="Calibri"/>
    </font>
    <font>
      <b/>
      <sz val="11"/>
      <name val="Calibri"/>
    </font>
    <font>
      <b/>
      <sz val="11"/>
      <color rgb="FF000000"/>
      <name val="Calibri"/>
    </font>
    <font>
      <b/>
      <sz val="11"/>
      <color rgb="FF1F4E79"/>
      <name val="Calibri"/>
    </font>
    <font>
      <sz val="11"/>
      <name val="Calibri"/>
    </font>
    <font>
      <b/>
      <sz val="12"/>
      <name val="Calibri"/>
    </font>
    <font>
      <i/>
      <sz val="11"/>
      <color rgb="FF555555"/>
      <name val="Calibri"/>
    </font>
    <font>
      <b/>
      <sz val="11"/>
      <name val="Calibri"/>
    </font>
    <font>
      <b/>
      <sz val="11"/>
      <color rgb="FF1F4E79"/>
      <name val="Calibri"/>
    </font>
    <font>
      <sz val="11"/>
      <color rgb="FF0000FF"/>
      <name val="Calibri"/>
    </font>
    <font>
      <i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FF2CC"/>
      </patternFill>
    </fill>
    <fill>
      <patternFill patternType="solid">
        <fgColor rgb="FFD9E1F2"/>
      </patternFill>
    </fill>
  </fills>
  <borders count="4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/>
      <right/>
      <top/>
      <bottom style="thin">
        <color rgb="FFBFBFBF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1" fillId="0" borderId="1" xfId="0" applyFont="1" applyBorder="1"/>
    <xf numFmtId="0" fontId="9" fillId="4" borderId="2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6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164" fontId="5" fillId="0" borderId="0" xfId="0" applyNumberFormat="1" applyFont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 wrapText="1"/>
    </xf>
    <xf numFmtId="16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10" fontId="6" fillId="0" borderId="0" xfId="0" applyNumberFormat="1" applyFont="1" applyAlignment="1">
      <alignment horizontal="right" vertical="center" wrapText="1"/>
    </xf>
    <xf numFmtId="165" fontId="8" fillId="3" borderId="0" xfId="0" applyNumberFormat="1" applyFont="1" applyFill="1" applyAlignment="1">
      <alignment horizontal="right" vertical="center" wrapText="1"/>
    </xf>
    <xf numFmtId="0" fontId="1" fillId="0" borderId="1" xfId="0" applyFont="1" applyBorder="1" applyAlignment="1">
      <alignment wrapText="1"/>
    </xf>
    <xf numFmtId="165" fontId="5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4" fontId="7" fillId="3" borderId="0" xfId="0" applyNumberFormat="1" applyFont="1" applyFill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10" fillId="0" borderId="0" xfId="0" applyFont="1"/>
    <xf numFmtId="0" fontId="13" fillId="0" borderId="0" xfId="0" applyFont="1"/>
    <xf numFmtId="3" fontId="13" fillId="3" borderId="0" xfId="0" applyNumberFormat="1" applyFont="1" applyFill="1" applyAlignment="1">
      <alignment horizontal="right"/>
    </xf>
    <xf numFmtId="0" fontId="13" fillId="0" borderId="1" xfId="0" applyFont="1" applyBorder="1" applyAlignment="1">
      <alignment horizontal="center" vertical="center" wrapText="1"/>
    </xf>
    <xf numFmtId="167" fontId="13" fillId="0" borderId="1" xfId="0" applyNumberFormat="1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right"/>
    </xf>
    <xf numFmtId="4" fontId="10" fillId="0" borderId="1" xfId="0" applyNumberFormat="1" applyFont="1" applyBorder="1" applyAlignment="1">
      <alignment horizontal="right"/>
    </xf>
    <xf numFmtId="165" fontId="15" fillId="0" borderId="0" xfId="0" applyNumberFormat="1" applyFont="1" applyAlignment="1">
      <alignment horizontal="right"/>
    </xf>
    <xf numFmtId="4" fontId="10" fillId="0" borderId="0" xfId="0" applyNumberFormat="1" applyFont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4" fillId="4" borderId="0" xfId="0" applyFont="1" applyFill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165" fontId="13" fillId="0" borderId="0" xfId="0" applyNumberFormat="1" applyFont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3" fontId="13" fillId="0" borderId="0" xfId="0" applyNumberFormat="1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center" vertical="center" wrapText="1"/>
    </xf>
    <xf numFmtId="166" fontId="10" fillId="0" borderId="0" xfId="0" applyNumberFormat="1" applyFont="1" applyAlignment="1">
      <alignment horizontal="right"/>
    </xf>
    <xf numFmtId="16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0" borderId="3" xfId="0" applyBorder="1"/>
    <xf numFmtId="0" fontId="0" fillId="0" borderId="2" xfId="0" applyBorder="1"/>
    <xf numFmtId="0" fontId="16" fillId="0" borderId="0" xfId="0" applyFont="1" applyAlignment="1">
      <alignment horizontal="left" vertical="center" wrapText="1"/>
    </xf>
    <xf numFmtId="0" fontId="0" fillId="0" borderId="0" xfId="0"/>
    <xf numFmtId="0" fontId="14" fillId="4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78787"/>
      <rgbColor rgb="FF9999FF"/>
      <rgbColor rgb="FFBE4B48"/>
      <rgbColor rgb="FFF2F2F2"/>
      <rgbColor rgb="FFD9E1F2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A7EBB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555555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Cumulative Households Assisted: With HB1336 (Reolving Capital</a:t>
            </a:r>
            <a:r>
              <a:rPr lang="en-US" sz="2000" baseline="0"/>
              <a:t> Model) vs. Without HB1336 (Deposit Grant Model)</a:t>
            </a:r>
            <a:endParaRPr lang="en-US" sz="2000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Model!$E$42</c:f>
              <c:strCache>
                <c:ptCount val="1"/>
                <c:pt idx="0">
                  <c:v>HB 1336:
cumulative HH</c:v>
                </c:pt>
              </c:strCache>
            </c:strRef>
          </c:tx>
          <c:spPr>
            <a:ln w="28080">
              <a:solidFill>
                <a:srgbClr val="4A7EBB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[1]Model!$B$43:$B$52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Model!$E$43:$E$52</c:f>
              <c:numCache>
                <c:formatCode>#,##0</c:formatCode>
                <c:ptCount val="10"/>
                <c:pt idx="0">
                  <c:v>269.23076923076923</c:v>
                </c:pt>
                <c:pt idx="1">
                  <c:v>538.46153846153845</c:v>
                </c:pt>
                <c:pt idx="2">
                  <c:v>807.69230769230762</c:v>
                </c:pt>
                <c:pt idx="3">
                  <c:v>1293.5461538461539</c:v>
                </c:pt>
                <c:pt idx="4">
                  <c:v>1779.4</c:v>
                </c:pt>
                <c:pt idx="5">
                  <c:v>2265.2538461538461</c:v>
                </c:pt>
                <c:pt idx="6">
                  <c:v>2925.4026199999998</c:v>
                </c:pt>
                <c:pt idx="7">
                  <c:v>3585.5513938461536</c:v>
                </c:pt>
                <c:pt idx="8">
                  <c:v>4245.7001676923073</c:v>
                </c:pt>
                <c:pt idx="9">
                  <c:v>5046.086640359692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48-4200-92A9-950CDD9A70C2}"/>
            </c:ext>
          </c:extLst>
        </c:ser>
        <c:ser>
          <c:idx val="1"/>
          <c:order val="1"/>
          <c:tx>
            <c:strRef>
              <c:f>[1]Model!$H$42</c:f>
              <c:strCache>
                <c:ptCount val="1"/>
                <c:pt idx="0">
                  <c:v>Do nothing:
cumulative HH</c:v>
                </c:pt>
              </c:strCache>
            </c:strRef>
          </c:tx>
          <c:spPr>
            <a:ln w="28080">
              <a:solidFill>
                <a:srgbClr val="BE4B48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[1]Model!$B$43:$B$52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[1]Model!$H$43:$H$52</c:f>
              <c:numCache>
                <c:formatCode>General</c:formatCode>
                <c:ptCount val="10"/>
                <c:pt idx="0">
                  <c:v>350</c:v>
                </c:pt>
                <c:pt idx="1">
                  <c:v>700</c:v>
                </c:pt>
                <c:pt idx="2">
                  <c:v>1050</c:v>
                </c:pt>
                <c:pt idx="3">
                  <c:v>1400</c:v>
                </c:pt>
                <c:pt idx="4">
                  <c:v>1750</c:v>
                </c:pt>
                <c:pt idx="5">
                  <c:v>2100</c:v>
                </c:pt>
                <c:pt idx="6">
                  <c:v>2450</c:v>
                </c:pt>
                <c:pt idx="7">
                  <c:v>2800</c:v>
                </c:pt>
                <c:pt idx="8">
                  <c:v>3150</c:v>
                </c:pt>
                <c:pt idx="9">
                  <c:v>3500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48-4200-92A9-950CDD9A7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40770"/>
        <c:axId val="81663668"/>
      </c:lineChart>
      <c:catAx>
        <c:axId val="2134077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Elapsed from Passage (Years)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 w="9360">
            <a:solidFill>
              <a:schemeClr val="tx1"/>
            </a:solidFill>
            <a:prstDash val="solid"/>
            <a:round/>
          </a:ln>
        </c:spPr>
        <c:txPr>
          <a:bodyPr/>
          <a:lstStyle/>
          <a:p>
            <a:pPr>
              <a:defRPr sz="1200" b="1" strike="noStrike">
                <a:solidFill>
                  <a:sysClr val="windowText" lastClr="000000"/>
                </a:solidFill>
                <a:uFillTx/>
                <a:latin typeface="Calibri"/>
              </a:defRPr>
            </a:pPr>
            <a:endParaRPr lang="en-US"/>
          </a:p>
        </c:txPr>
        <c:crossAx val="81663668"/>
        <c:crosses val="autoZero"/>
        <c:auto val="1"/>
        <c:lblAlgn val="ctr"/>
        <c:lblOffset val="100"/>
        <c:noMultiLvlLbl val="0"/>
      </c:catAx>
      <c:valAx>
        <c:axId val="816636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Cumulative Households Assisted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360">
            <a:solidFill>
              <a:schemeClr val="tx1"/>
            </a:solidFill>
            <a:prstDash val="solid"/>
            <a:round/>
          </a:ln>
        </c:spPr>
        <c:txPr>
          <a:bodyPr/>
          <a:lstStyle/>
          <a:p>
            <a:pPr>
              <a:defRPr sz="1200" b="1" strike="noStrike">
                <a:solidFill>
                  <a:sysClr val="windowText" lastClr="000000"/>
                </a:solidFill>
                <a:uFillTx/>
                <a:latin typeface="Calibri"/>
              </a:defRPr>
            </a:pPr>
            <a:endParaRPr lang="en-US"/>
          </a:p>
        </c:txPr>
        <c:crossAx val="21340770"/>
        <c:crosses val="autoZero"/>
        <c:crossBetween val="between"/>
      </c:valAx>
    </c:plotArea>
    <c:legend>
      <c:legendPos val="b"/>
      <c:overlay val="0"/>
      <c:spPr>
        <a:noFill/>
        <a:ln w="0">
          <a:noFill/>
          <a:prstDash val="solid"/>
        </a:ln>
      </c:spPr>
      <c:txPr>
        <a:bodyPr/>
        <a:lstStyle/>
        <a:p>
          <a:pPr>
            <a:defRPr sz="1600" b="1" strike="noStrike">
              <a:solidFill>
                <a:srgbClr val="000000"/>
              </a:solidFill>
              <a:uFillTx/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noFill/>
      <a:prstDash val="solid"/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solidFill>
                  <a:sysClr val="windowText" lastClr="000000"/>
                </a:solidFill>
              </a:rPr>
              <a:t>Household Assisted by Year with and without HB1336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Model!$D$42</c:f>
              <c:strCache>
                <c:ptCount val="1"/>
                <c:pt idx="0">
                  <c:v>HB 1336:
households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Model!$D$43:$D$52</c:f>
              <c:numCache>
                <c:formatCode>#,##0</c:formatCode>
                <c:ptCount val="10"/>
                <c:pt idx="0">
                  <c:v>269.23076923076923</c:v>
                </c:pt>
                <c:pt idx="1">
                  <c:v>269.23076923076923</c:v>
                </c:pt>
                <c:pt idx="2">
                  <c:v>269.23076923076923</c:v>
                </c:pt>
                <c:pt idx="3">
                  <c:v>485.85384615384618</c:v>
                </c:pt>
                <c:pt idx="4">
                  <c:v>485.85384615384618</c:v>
                </c:pt>
                <c:pt idx="5">
                  <c:v>485.85384615384618</c:v>
                </c:pt>
                <c:pt idx="6">
                  <c:v>660.14877384615386</c:v>
                </c:pt>
                <c:pt idx="7">
                  <c:v>660.14877384615386</c:v>
                </c:pt>
                <c:pt idx="8">
                  <c:v>660.14877384615386</c:v>
                </c:pt>
                <c:pt idx="9">
                  <c:v>800.38647266738462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A-4B37-98F2-ADEA9FBA428E}"/>
            </c:ext>
          </c:extLst>
        </c:ser>
        <c:ser>
          <c:idx val="2"/>
          <c:order val="1"/>
          <c:tx>
            <c:strRef>
              <c:f>Model!$G$42</c:f>
              <c:strCache>
                <c:ptCount val="1"/>
                <c:pt idx="0">
                  <c:v>Do nothing:
households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Model!$G$43:$G$52</c:f>
              <c:numCache>
                <c:formatCode>#,##0</c:formatCode>
                <c:ptCount val="10"/>
                <c:pt idx="0">
                  <c:v>350</c:v>
                </c:pt>
                <c:pt idx="1">
                  <c:v>350</c:v>
                </c:pt>
                <c:pt idx="2">
                  <c:v>350</c:v>
                </c:pt>
                <c:pt idx="3">
                  <c:v>350</c:v>
                </c:pt>
                <c:pt idx="4">
                  <c:v>350</c:v>
                </c:pt>
                <c:pt idx="5">
                  <c:v>350</c:v>
                </c:pt>
                <c:pt idx="6">
                  <c:v>350</c:v>
                </c:pt>
                <c:pt idx="7">
                  <c:v>350</c:v>
                </c:pt>
                <c:pt idx="8">
                  <c:v>350</c:v>
                </c:pt>
                <c:pt idx="9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7A-4B37-98F2-ADEA9FBA4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1031855"/>
        <c:axId val="821048655"/>
      </c:barChart>
      <c:catAx>
        <c:axId val="821031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Time Elapsed from Passage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048655"/>
        <c:crosses val="autoZero"/>
        <c:auto val="1"/>
        <c:lblAlgn val="ctr"/>
        <c:lblOffset val="100"/>
        <c:noMultiLvlLbl val="0"/>
      </c:catAx>
      <c:valAx>
        <c:axId val="82104865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>
                    <a:solidFill>
                      <a:sysClr val="windowText" lastClr="000000"/>
                    </a:solidFill>
                  </a:rPr>
                  <a:t>Household</a:t>
                </a:r>
                <a:r>
                  <a:rPr lang="en-US" sz="1200" b="1" baseline="0">
                    <a:solidFill>
                      <a:sysClr val="windowText" lastClr="000000"/>
                    </a:solidFill>
                  </a:rPr>
                  <a:t>s Assisted</a:t>
                </a:r>
                <a:endParaRPr lang="en-US" sz="1200" b="1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103185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121227</xdr:colOff>
      <xdr:row>3</xdr:row>
      <xdr:rowOff>143895</xdr:rowOff>
    </xdr:from>
    <xdr:to>
      <xdr:col>37</xdr:col>
      <xdr:colOff>87023</xdr:colOff>
      <xdr:row>24</xdr:row>
      <xdr:rowOff>5972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BCE4F1D-A86A-436D-AD99-0F114F88FD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880866</xdr:colOff>
      <xdr:row>3</xdr:row>
      <xdr:rowOff>34637</xdr:rowOff>
    </xdr:from>
    <xdr:to>
      <xdr:col>19</xdr:col>
      <xdr:colOff>48830</xdr:colOff>
      <xdr:row>23</xdr:row>
      <xdr:rowOff>100841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98D826D-E343-42DA-BE7B-14940B88B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free\OneDrive\Documents\Legislative%20Testimony%20and%20Proposals\HB%201336\Selects%20for%20Governor%20Memo\HB1336_Capital_Model_v2_2%20-%20Copy.xlsx" TargetMode="External"/><Relationship Id="rId1" Type="http://schemas.openxmlformats.org/officeDocument/2006/relationships/externalLinkPath" Target="file:///C:\Users\cfree\OneDrive\Documents\Legislative%20Testimony%20and%20Proposals\HB%201336\Selects%20for%20Governor%20Memo\HB1336_Capital_Model_v2_2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odel"/>
      <sheetName val="Sensitivity"/>
      <sheetName val="Notes &amp; Method"/>
    </sheetNames>
    <sheetDataSet>
      <sheetData sheetId="0">
        <row r="42">
          <cell r="D42" t="str">
            <v>HB 1336:
households</v>
          </cell>
          <cell r="H42" t="str">
            <v>Do nothing:
cumulative HH</v>
          </cell>
        </row>
        <row r="43">
          <cell r="B43">
            <v>1</v>
          </cell>
          <cell r="H43">
            <v>350</v>
          </cell>
        </row>
        <row r="44">
          <cell r="B44">
            <v>2</v>
          </cell>
          <cell r="H44">
            <v>700</v>
          </cell>
        </row>
        <row r="45">
          <cell r="B45">
            <v>3</v>
          </cell>
          <cell r="H45">
            <v>1050</v>
          </cell>
        </row>
        <row r="46">
          <cell r="B46">
            <v>4</v>
          </cell>
          <cell r="H46">
            <v>1400</v>
          </cell>
        </row>
        <row r="47">
          <cell r="B47">
            <v>5</v>
          </cell>
          <cell r="H47">
            <v>1750</v>
          </cell>
        </row>
        <row r="48">
          <cell r="B48">
            <v>6</v>
          </cell>
          <cell r="H48">
            <v>2100</v>
          </cell>
        </row>
        <row r="49">
          <cell r="B49">
            <v>7</v>
          </cell>
          <cell r="H49">
            <v>2450</v>
          </cell>
        </row>
        <row r="50">
          <cell r="B50">
            <v>8</v>
          </cell>
          <cell r="H50">
            <v>2800</v>
          </cell>
        </row>
        <row r="51">
          <cell r="B51">
            <v>9</v>
          </cell>
          <cell r="H51">
            <v>3150</v>
          </cell>
        </row>
        <row r="52">
          <cell r="B52">
            <v>10</v>
          </cell>
          <cell r="H52">
            <v>3500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showGridLines="0" tabSelected="1" zoomScale="120" zoomScaleNormal="120" workbookViewId="0">
      <selection activeCell="H2" sqref="H2"/>
    </sheetView>
  </sheetViews>
  <sheetFormatPr defaultColWidth="8.6640625" defaultRowHeight="14.25" x14ac:dyDescent="0.45"/>
  <cols>
    <col min="1" max="1" width="8.6640625" style="15" customWidth="1"/>
    <col min="2" max="2" width="50.33203125" style="15" bestFit="1" customWidth="1"/>
    <col min="3" max="3" width="14.265625" style="15" bestFit="1" customWidth="1"/>
    <col min="4" max="4" width="41.9296875" style="15" bestFit="1" customWidth="1"/>
    <col min="5" max="8" width="16" customWidth="1"/>
  </cols>
  <sheetData>
    <row r="1" spans="2:8" ht="31.5" customHeight="1" x14ac:dyDescent="0.5">
      <c r="B1" s="16" t="s">
        <v>29</v>
      </c>
      <c r="C1" s="17"/>
      <c r="D1" s="17"/>
      <c r="E1" s="1"/>
      <c r="F1" s="1"/>
      <c r="G1" s="1"/>
      <c r="H1" s="1"/>
    </row>
    <row r="2" spans="2:8" ht="85.5" customHeight="1" x14ac:dyDescent="0.45">
      <c r="B2" s="2" t="s">
        <v>30</v>
      </c>
    </row>
    <row r="3" spans="2:8" x14ac:dyDescent="0.45">
      <c r="B3" s="17"/>
      <c r="C3" s="17"/>
      <c r="D3" s="17"/>
      <c r="E3" s="1"/>
      <c r="F3" s="1"/>
      <c r="G3" s="1"/>
      <c r="H3" s="1"/>
    </row>
    <row r="4" spans="2:8" x14ac:dyDescent="0.45">
      <c r="B4" s="3" t="s">
        <v>31</v>
      </c>
      <c r="E4" s="1"/>
      <c r="F4" s="1"/>
      <c r="G4" s="1"/>
      <c r="H4" s="1"/>
    </row>
    <row r="5" spans="2:8" x14ac:dyDescent="0.45">
      <c r="B5" s="4" t="s">
        <v>32</v>
      </c>
      <c r="C5" s="18">
        <v>1000000</v>
      </c>
      <c r="D5" s="2" t="s">
        <v>33</v>
      </c>
      <c r="E5" s="1"/>
      <c r="F5" s="1"/>
      <c r="G5" s="1"/>
      <c r="H5" s="1"/>
    </row>
    <row r="6" spans="2:8" ht="28.5" x14ac:dyDescent="0.45">
      <c r="B6" s="4" t="s">
        <v>34</v>
      </c>
      <c r="C6" s="19">
        <v>0.3</v>
      </c>
      <c r="D6" s="2" t="s">
        <v>35</v>
      </c>
      <c r="E6" s="1"/>
      <c r="F6" s="1"/>
      <c r="G6" s="1"/>
      <c r="H6" s="1"/>
    </row>
    <row r="7" spans="2:8" x14ac:dyDescent="0.45">
      <c r="B7" s="4" t="s">
        <v>36</v>
      </c>
      <c r="C7" s="20">
        <f>C5*(1-C6)</f>
        <v>700000</v>
      </c>
      <c r="D7" s="2" t="s">
        <v>37</v>
      </c>
      <c r="E7" s="1"/>
      <c r="F7" s="1"/>
      <c r="G7" s="1"/>
      <c r="H7" s="1"/>
    </row>
    <row r="8" spans="2:8" ht="28.5" x14ac:dyDescent="0.45">
      <c r="B8" s="4" t="s">
        <v>38</v>
      </c>
      <c r="C8" s="18">
        <v>2000</v>
      </c>
      <c r="D8" s="2" t="s">
        <v>39</v>
      </c>
      <c r="E8" s="1"/>
      <c r="F8" s="1"/>
      <c r="G8" s="1"/>
      <c r="H8" s="1"/>
    </row>
    <row r="9" spans="2:8" ht="28.5" x14ac:dyDescent="0.45">
      <c r="B9" s="4" t="s">
        <v>40</v>
      </c>
      <c r="C9" s="21">
        <v>1</v>
      </c>
      <c r="D9" s="2" t="s">
        <v>41</v>
      </c>
      <c r="E9" s="1"/>
      <c r="F9" s="1"/>
      <c r="G9" s="1"/>
      <c r="H9" s="1"/>
    </row>
    <row r="10" spans="2:8" ht="28.5" customHeight="1" x14ac:dyDescent="0.45">
      <c r="B10" s="4" t="s">
        <v>42</v>
      </c>
      <c r="C10" s="19">
        <v>0.3</v>
      </c>
      <c r="D10" s="2" t="s">
        <v>43</v>
      </c>
      <c r="E10" s="1"/>
      <c r="F10" s="1"/>
      <c r="G10" s="1"/>
      <c r="H10" s="1"/>
    </row>
    <row r="11" spans="2:8" x14ac:dyDescent="0.45">
      <c r="B11" s="4" t="s">
        <v>44</v>
      </c>
      <c r="C11" s="20">
        <f>C8*(1+C10*C9)</f>
        <v>2600</v>
      </c>
      <c r="D11" s="2" t="s">
        <v>45</v>
      </c>
      <c r="E11" s="1"/>
      <c r="F11" s="1"/>
      <c r="G11" s="1"/>
      <c r="H11" s="1"/>
    </row>
    <row r="12" spans="2:8" ht="28.5" x14ac:dyDescent="0.45">
      <c r="B12" s="4" t="s">
        <v>46</v>
      </c>
      <c r="C12" s="22">
        <v>3</v>
      </c>
      <c r="D12" s="2" t="s">
        <v>47</v>
      </c>
      <c r="E12" s="1"/>
      <c r="F12" s="1"/>
      <c r="G12" s="1"/>
      <c r="H12" s="1"/>
    </row>
    <row r="13" spans="2:8" x14ac:dyDescent="0.45">
      <c r="B13" s="4" t="s">
        <v>48</v>
      </c>
      <c r="C13" s="23" t="s">
        <v>49</v>
      </c>
      <c r="D13" s="2" t="s">
        <v>50</v>
      </c>
      <c r="E13" s="1"/>
      <c r="F13" s="1"/>
      <c r="G13" s="1"/>
      <c r="H13" s="1"/>
    </row>
    <row r="14" spans="2:8" x14ac:dyDescent="0.45">
      <c r="B14" s="4" t="s">
        <v>51</v>
      </c>
      <c r="C14" s="24">
        <f>IF(C13="Yes",1-C6,1)</f>
        <v>1</v>
      </c>
      <c r="D14" s="2" t="s">
        <v>52</v>
      </c>
      <c r="E14" s="1"/>
      <c r="F14" s="1"/>
      <c r="G14" s="1"/>
      <c r="H14" s="1"/>
    </row>
    <row r="15" spans="2:8" x14ac:dyDescent="0.45">
      <c r="B15" s="17"/>
      <c r="C15" s="17"/>
      <c r="D15" s="17"/>
      <c r="E15" s="1"/>
      <c r="F15" s="1"/>
      <c r="G15" s="1"/>
      <c r="H15" s="1"/>
    </row>
    <row r="16" spans="2:8" ht="28.5" customHeight="1" x14ac:dyDescent="0.45">
      <c r="B16" s="3" t="s">
        <v>53</v>
      </c>
      <c r="E16" s="1"/>
      <c r="F16" s="1"/>
      <c r="G16" s="1"/>
      <c r="H16" s="1"/>
    </row>
    <row r="17" spans="2:8" ht="28.5" customHeight="1" x14ac:dyDescent="0.45">
      <c r="B17" s="4" t="s">
        <v>54</v>
      </c>
      <c r="C17" s="23" t="s">
        <v>55</v>
      </c>
      <c r="D17" s="2" t="s">
        <v>56</v>
      </c>
      <c r="E17" s="1"/>
      <c r="F17" s="1"/>
      <c r="G17" s="1"/>
      <c r="H17" s="1"/>
    </row>
    <row r="18" spans="2:8" ht="28.5" customHeight="1" x14ac:dyDescent="0.45">
      <c r="B18" s="4" t="s">
        <v>57</v>
      </c>
      <c r="C18" s="19">
        <v>0.7</v>
      </c>
      <c r="D18" s="2" t="s">
        <v>58</v>
      </c>
      <c r="E18" s="1"/>
      <c r="F18" s="1"/>
      <c r="G18" s="1"/>
      <c r="H18" s="1"/>
    </row>
    <row r="19" spans="2:8" ht="28.5" customHeight="1" x14ac:dyDescent="0.45">
      <c r="B19" s="4" t="s">
        <v>59</v>
      </c>
      <c r="C19" s="19">
        <v>1</v>
      </c>
      <c r="D19" s="2" t="s">
        <v>60</v>
      </c>
      <c r="E19" s="1"/>
      <c r="F19" s="1"/>
      <c r="G19" s="1"/>
      <c r="H19" s="1"/>
    </row>
    <row r="20" spans="2:8" ht="28.5" customHeight="1" x14ac:dyDescent="0.45">
      <c r="B20" s="4" t="s">
        <v>61</v>
      </c>
      <c r="C20" s="19">
        <v>0.15</v>
      </c>
      <c r="D20" s="2" t="s">
        <v>62</v>
      </c>
      <c r="E20" s="1"/>
      <c r="F20" s="1"/>
      <c r="G20" s="1"/>
      <c r="H20" s="1"/>
    </row>
    <row r="21" spans="2:8" ht="28.5" x14ac:dyDescent="0.45">
      <c r="B21" s="4" t="s">
        <v>63</v>
      </c>
      <c r="C21" s="25">
        <f>SUMPRODUCT(C26:C30,D26:D30)</f>
        <v>4.5400000000000003E-2</v>
      </c>
      <c r="D21" s="2" t="s">
        <v>64</v>
      </c>
      <c r="E21" s="1"/>
      <c r="F21" s="1"/>
      <c r="G21" s="1"/>
      <c r="H21" s="1"/>
    </row>
    <row r="22" spans="2:8" ht="28.5" x14ac:dyDescent="0.45">
      <c r="B22" s="6" t="s">
        <v>65</v>
      </c>
      <c r="C22" s="26">
        <f>IF(C17="Manual override",C18,MAX(0,1-C21*C19-C20))</f>
        <v>0.80459999999999998</v>
      </c>
      <c r="D22" s="2" t="s">
        <v>66</v>
      </c>
      <c r="E22" s="1"/>
      <c r="F22" s="1"/>
      <c r="G22" s="1"/>
      <c r="H22" s="1"/>
    </row>
    <row r="23" spans="2:8" x14ac:dyDescent="0.45">
      <c r="B23" s="27"/>
      <c r="C23" s="27"/>
      <c r="D23" s="27"/>
      <c r="E23" s="7"/>
      <c r="F23" s="7"/>
      <c r="G23" s="7"/>
      <c r="H23" s="7"/>
    </row>
    <row r="24" spans="2:8" ht="28.5" customHeight="1" x14ac:dyDescent="0.45">
      <c r="B24" s="8" t="s">
        <v>67</v>
      </c>
      <c r="E24" s="7"/>
      <c r="F24" s="7"/>
      <c r="G24" s="7"/>
      <c r="H24" s="7"/>
    </row>
    <row r="25" spans="2:8" ht="28.5" x14ac:dyDescent="0.45">
      <c r="B25" s="9" t="s">
        <v>68</v>
      </c>
      <c r="C25" s="10" t="s">
        <v>69</v>
      </c>
      <c r="D25" s="10" t="s">
        <v>70</v>
      </c>
      <c r="E25" s="7"/>
      <c r="F25" s="7"/>
      <c r="G25" s="7"/>
      <c r="H25" s="7"/>
    </row>
    <row r="26" spans="2:8" x14ac:dyDescent="0.45">
      <c r="B26" s="11" t="s">
        <v>71</v>
      </c>
      <c r="C26" s="28">
        <v>0.123</v>
      </c>
      <c r="D26" s="28">
        <v>0.05</v>
      </c>
      <c r="E26" s="7"/>
      <c r="F26" s="7"/>
      <c r="G26" s="7"/>
      <c r="H26" s="7"/>
    </row>
    <row r="27" spans="2:8" x14ac:dyDescent="0.45">
      <c r="B27" s="11" t="s">
        <v>72</v>
      </c>
      <c r="C27" s="28">
        <v>9.4E-2</v>
      </c>
      <c r="D27" s="28">
        <v>0.15</v>
      </c>
      <c r="E27" s="7"/>
      <c r="F27" s="7"/>
      <c r="G27" s="7"/>
      <c r="H27" s="7"/>
    </row>
    <row r="28" spans="2:8" x14ac:dyDescent="0.45">
      <c r="B28" s="11" t="s">
        <v>73</v>
      </c>
      <c r="C28" s="28">
        <v>5.8000000000000003E-2</v>
      </c>
      <c r="D28" s="28">
        <v>0.35</v>
      </c>
      <c r="E28" s="7"/>
      <c r="F28" s="7"/>
      <c r="G28" s="7"/>
      <c r="H28" s="7"/>
    </row>
    <row r="29" spans="2:8" x14ac:dyDescent="0.45">
      <c r="B29" s="11" t="s">
        <v>74</v>
      </c>
      <c r="C29" s="28">
        <v>1.2999999999999999E-2</v>
      </c>
      <c r="D29" s="28">
        <v>0.35</v>
      </c>
      <c r="E29" s="7"/>
      <c r="F29" s="7"/>
      <c r="G29" s="7"/>
      <c r="H29" s="7"/>
    </row>
    <row r="30" spans="2:8" x14ac:dyDescent="0.45">
      <c r="B30" s="11" t="s">
        <v>75</v>
      </c>
      <c r="C30" s="28">
        <v>3.0000000000000001E-3</v>
      </c>
      <c r="D30" s="28">
        <v>0.1</v>
      </c>
      <c r="E30" s="7"/>
      <c r="F30" s="7"/>
      <c r="G30" s="7"/>
      <c r="H30" s="7"/>
    </row>
    <row r="31" spans="2:8" x14ac:dyDescent="0.45">
      <c r="B31" s="4" t="s">
        <v>76</v>
      </c>
      <c r="C31" s="27"/>
      <c r="D31" s="29">
        <f>SUM(D26:D30)</f>
        <v>1</v>
      </c>
      <c r="E31" s="7"/>
      <c r="F31" s="7"/>
      <c r="G31" s="7"/>
      <c r="H31" s="7"/>
    </row>
    <row r="32" spans="2:8" x14ac:dyDescent="0.45">
      <c r="B32" s="17"/>
      <c r="C32" s="27"/>
      <c r="D32" s="27"/>
      <c r="E32" s="7"/>
      <c r="F32" s="7"/>
      <c r="G32" s="7"/>
      <c r="H32" s="7"/>
    </row>
    <row r="33" spans="2:8" x14ac:dyDescent="0.45">
      <c r="B33" s="55" t="s">
        <v>77</v>
      </c>
      <c r="C33" s="56"/>
      <c r="D33" s="57"/>
      <c r="E33" s="7"/>
      <c r="F33" s="7"/>
      <c r="G33" s="7"/>
      <c r="H33" s="7"/>
    </row>
    <row r="34" spans="2:8" x14ac:dyDescent="0.45">
      <c r="B34" s="4" t="s">
        <v>78</v>
      </c>
      <c r="C34" s="30">
        <f>H52</f>
        <v>3500</v>
      </c>
    </row>
    <row r="35" spans="2:8" ht="28.5" customHeight="1" x14ac:dyDescent="0.45">
      <c r="B35" s="4" t="s">
        <v>79</v>
      </c>
      <c r="C35" s="30">
        <f ca="1">E52</f>
        <v>5046.086640359692</v>
      </c>
    </row>
    <row r="36" spans="2:8" x14ac:dyDescent="0.45">
      <c r="B36" s="4" t="s">
        <v>80</v>
      </c>
      <c r="C36" s="30">
        <f ca="1">C35-C34</f>
        <v>1546.086640359692</v>
      </c>
    </row>
    <row r="37" spans="2:8" x14ac:dyDescent="0.45">
      <c r="B37" s="4" t="s">
        <v>81</v>
      </c>
      <c r="C37" s="31">
        <f ca="1">C35/C34</f>
        <v>1.4417390401027692</v>
      </c>
    </row>
    <row r="38" spans="2:8" x14ac:dyDescent="0.45">
      <c r="B38" s="4" t="s">
        <v>82</v>
      </c>
      <c r="C38" s="30">
        <f>G52</f>
        <v>350</v>
      </c>
    </row>
    <row r="39" spans="2:8" x14ac:dyDescent="0.45">
      <c r="B39" s="4" t="s">
        <v>83</v>
      </c>
      <c r="C39" s="30">
        <f ca="1">D52</f>
        <v>800.38647266738462</v>
      </c>
    </row>
    <row r="41" spans="2:8" x14ac:dyDescent="0.45">
      <c r="B41" s="3" t="s">
        <v>84</v>
      </c>
    </row>
    <row r="42" spans="2:8" ht="28.5" customHeight="1" x14ac:dyDescent="0.45">
      <c r="B42" s="13" t="s">
        <v>85</v>
      </c>
      <c r="C42" s="13" t="s">
        <v>86</v>
      </c>
      <c r="D42" s="13" t="s">
        <v>87</v>
      </c>
      <c r="E42" s="13" t="s">
        <v>88</v>
      </c>
      <c r="F42" s="13" t="s">
        <v>89</v>
      </c>
      <c r="G42" s="13" t="s">
        <v>90</v>
      </c>
      <c r="H42" s="13" t="s">
        <v>91</v>
      </c>
    </row>
    <row r="43" spans="2:8" x14ac:dyDescent="0.45">
      <c r="B43" s="14">
        <v>1</v>
      </c>
      <c r="C43" s="20">
        <f t="shared" ref="C43:C52" ca="1" si="0">$C$7+IF(B43&gt;$C$12,$C$14*$C$22*OFFSET(B43,-$C$12,1),0)</f>
        <v>700000</v>
      </c>
      <c r="D43" s="30">
        <f t="shared" ref="D43:D52" ca="1" si="1">C43/$C$11</f>
        <v>269.23076923076923</v>
      </c>
      <c r="E43" s="12">
        <f ca="1">D43</f>
        <v>269.23076923076923</v>
      </c>
      <c r="F43" s="5">
        <f t="shared" ref="F43:F52" si="2">$C$7</f>
        <v>700000</v>
      </c>
      <c r="G43" s="12">
        <f t="shared" ref="G43:G52" si="3">F43/$C$8</f>
        <v>350</v>
      </c>
      <c r="H43" s="12">
        <f>G43</f>
        <v>350</v>
      </c>
    </row>
    <row r="44" spans="2:8" x14ac:dyDescent="0.45">
      <c r="B44" s="14">
        <v>2</v>
      </c>
      <c r="C44" s="20">
        <f t="shared" ca="1" si="0"/>
        <v>700000</v>
      </c>
      <c r="D44" s="30">
        <f t="shared" ca="1" si="1"/>
        <v>269.23076923076923</v>
      </c>
      <c r="E44" s="12">
        <f t="shared" ref="E44:E52" ca="1" si="4">E43+D44</f>
        <v>538.46153846153845</v>
      </c>
      <c r="F44" s="5">
        <f t="shared" si="2"/>
        <v>700000</v>
      </c>
      <c r="G44" s="12">
        <f t="shared" si="3"/>
        <v>350</v>
      </c>
      <c r="H44" s="12">
        <f t="shared" ref="H44:H52" si="5">H43+G44</f>
        <v>700</v>
      </c>
    </row>
    <row r="45" spans="2:8" x14ac:dyDescent="0.45">
      <c r="B45" s="14">
        <v>3</v>
      </c>
      <c r="C45" s="20">
        <f t="shared" ca="1" si="0"/>
        <v>700000</v>
      </c>
      <c r="D45" s="30">
        <f t="shared" ca="1" si="1"/>
        <v>269.23076923076923</v>
      </c>
      <c r="E45" s="12">
        <f t="shared" ca="1" si="4"/>
        <v>807.69230769230762</v>
      </c>
      <c r="F45" s="5">
        <f t="shared" si="2"/>
        <v>700000</v>
      </c>
      <c r="G45" s="12">
        <f t="shared" si="3"/>
        <v>350</v>
      </c>
      <c r="H45" s="12">
        <f t="shared" si="5"/>
        <v>1050</v>
      </c>
    </row>
    <row r="46" spans="2:8" x14ac:dyDescent="0.45">
      <c r="B46" s="14">
        <v>4</v>
      </c>
      <c r="C46" s="20">
        <f t="shared" ca="1" si="0"/>
        <v>1263220</v>
      </c>
      <c r="D46" s="30">
        <f t="shared" ca="1" si="1"/>
        <v>485.85384615384618</v>
      </c>
      <c r="E46" s="12">
        <f t="shared" ca="1" si="4"/>
        <v>1293.5461538461539</v>
      </c>
      <c r="F46" s="5">
        <f t="shared" si="2"/>
        <v>700000</v>
      </c>
      <c r="G46" s="12">
        <f t="shared" si="3"/>
        <v>350</v>
      </c>
      <c r="H46" s="12">
        <f t="shared" si="5"/>
        <v>1400</v>
      </c>
    </row>
    <row r="47" spans="2:8" x14ac:dyDescent="0.45">
      <c r="B47" s="14">
        <v>5</v>
      </c>
      <c r="C47" s="20">
        <f t="shared" ca="1" si="0"/>
        <v>1263220</v>
      </c>
      <c r="D47" s="30">
        <f t="shared" ca="1" si="1"/>
        <v>485.85384615384618</v>
      </c>
      <c r="E47" s="12">
        <f t="shared" ca="1" si="4"/>
        <v>1779.4</v>
      </c>
      <c r="F47" s="5">
        <f t="shared" si="2"/>
        <v>700000</v>
      </c>
      <c r="G47" s="12">
        <f t="shared" si="3"/>
        <v>350</v>
      </c>
      <c r="H47" s="12">
        <f t="shared" si="5"/>
        <v>1750</v>
      </c>
    </row>
    <row r="48" spans="2:8" x14ac:dyDescent="0.45">
      <c r="B48" s="14">
        <v>6</v>
      </c>
      <c r="C48" s="20">
        <f t="shared" ca="1" si="0"/>
        <v>1263220</v>
      </c>
      <c r="D48" s="30">
        <f t="shared" ca="1" si="1"/>
        <v>485.85384615384618</v>
      </c>
      <c r="E48" s="12">
        <f t="shared" ca="1" si="4"/>
        <v>2265.2538461538461</v>
      </c>
      <c r="F48" s="5">
        <f t="shared" si="2"/>
        <v>700000</v>
      </c>
      <c r="G48" s="12">
        <f t="shared" si="3"/>
        <v>350</v>
      </c>
      <c r="H48" s="12">
        <f t="shared" si="5"/>
        <v>2100</v>
      </c>
    </row>
    <row r="49" spans="2:8" x14ac:dyDescent="0.45">
      <c r="B49" s="14">
        <v>7</v>
      </c>
      <c r="C49" s="20">
        <f t="shared" ca="1" si="0"/>
        <v>1716386.8119999999</v>
      </c>
      <c r="D49" s="30">
        <f t="shared" ca="1" si="1"/>
        <v>660.14877384615386</v>
      </c>
      <c r="E49" s="12">
        <f t="shared" ca="1" si="4"/>
        <v>2925.4026199999998</v>
      </c>
      <c r="F49" s="5">
        <f t="shared" si="2"/>
        <v>700000</v>
      </c>
      <c r="G49" s="12">
        <f t="shared" si="3"/>
        <v>350</v>
      </c>
      <c r="H49" s="12">
        <f t="shared" si="5"/>
        <v>2450</v>
      </c>
    </row>
    <row r="50" spans="2:8" x14ac:dyDescent="0.45">
      <c r="B50" s="14">
        <v>8</v>
      </c>
      <c r="C50" s="20">
        <f t="shared" ca="1" si="0"/>
        <v>1716386.8119999999</v>
      </c>
      <c r="D50" s="30">
        <f t="shared" ca="1" si="1"/>
        <v>660.14877384615386</v>
      </c>
      <c r="E50" s="12">
        <f t="shared" ca="1" si="4"/>
        <v>3585.5513938461536</v>
      </c>
      <c r="F50" s="5">
        <f t="shared" si="2"/>
        <v>700000</v>
      </c>
      <c r="G50" s="12">
        <f t="shared" si="3"/>
        <v>350</v>
      </c>
      <c r="H50" s="12">
        <f t="shared" si="5"/>
        <v>2800</v>
      </c>
    </row>
    <row r="51" spans="2:8" x14ac:dyDescent="0.45">
      <c r="B51" s="14">
        <v>9</v>
      </c>
      <c r="C51" s="20">
        <f t="shared" ca="1" si="0"/>
        <v>1716386.8119999999</v>
      </c>
      <c r="D51" s="30">
        <f t="shared" ca="1" si="1"/>
        <v>660.14877384615386</v>
      </c>
      <c r="E51" s="12">
        <f t="shared" ca="1" si="4"/>
        <v>4245.7001676923073</v>
      </c>
      <c r="F51" s="5">
        <f t="shared" si="2"/>
        <v>700000</v>
      </c>
      <c r="G51" s="12">
        <f t="shared" si="3"/>
        <v>350</v>
      </c>
      <c r="H51" s="12">
        <f t="shared" si="5"/>
        <v>3150</v>
      </c>
    </row>
    <row r="52" spans="2:8" x14ac:dyDescent="0.45">
      <c r="B52" s="14">
        <v>10</v>
      </c>
      <c r="C52" s="20">
        <f t="shared" ca="1" si="0"/>
        <v>2081004.8289351999</v>
      </c>
      <c r="D52" s="30">
        <f t="shared" ca="1" si="1"/>
        <v>800.38647266738462</v>
      </c>
      <c r="E52" s="12">
        <f t="shared" ca="1" si="4"/>
        <v>5046.086640359692</v>
      </c>
      <c r="F52" s="5">
        <f t="shared" si="2"/>
        <v>700000</v>
      </c>
      <c r="G52" s="12">
        <f t="shared" si="3"/>
        <v>350</v>
      </c>
      <c r="H52" s="12">
        <f t="shared" si="5"/>
        <v>3500</v>
      </c>
    </row>
  </sheetData>
  <mergeCells count="1">
    <mergeCell ref="B33:D33"/>
  </mergeCells>
  <dataValidations count="2">
    <dataValidation type="list" sqref="C11" xr:uid="{00000000-0002-0000-0000-000000000000}">
      <formula1>"Yes,No"</formula1>
      <formula2>0</formula2>
    </dataValidation>
    <dataValidation type="whole" sqref="C9" xr:uid="{00000000-0002-0000-0000-000001000000}">
      <formula1>1</formula1>
      <formula2>5</formula2>
    </dataValidation>
  </dataValidations>
  <pageMargins left="0.75" right="0.75" top="1" bottom="1" header="0.511811023622047" footer="0.511811023622047"/>
  <pageSetup paperSize="9" fitToHeight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showGridLines="0" topLeftCell="A21" zoomScaleNormal="100" workbookViewId="0">
      <selection activeCell="O39" sqref="O39"/>
    </sheetView>
  </sheetViews>
  <sheetFormatPr defaultColWidth="8.6640625" defaultRowHeight="14.25" x14ac:dyDescent="0.45"/>
  <cols>
    <col min="1" max="1" width="52" customWidth="1"/>
    <col min="2" max="7" width="14" customWidth="1"/>
  </cols>
  <sheetData>
    <row r="1" spans="1:8" ht="17.649999999999999" customHeight="1" x14ac:dyDescent="0.45">
      <c r="A1" s="63" t="s">
        <v>0</v>
      </c>
      <c r="B1" s="59"/>
      <c r="C1" s="59"/>
      <c r="D1" s="59"/>
      <c r="E1" s="59"/>
      <c r="F1" s="59"/>
      <c r="G1" s="59"/>
      <c r="H1" s="33"/>
    </row>
    <row r="2" spans="1:8" ht="40.049999999999997" customHeight="1" x14ac:dyDescent="0.45">
      <c r="A2" s="61" t="s">
        <v>1</v>
      </c>
      <c r="B2" s="59"/>
      <c r="C2" s="59"/>
      <c r="D2" s="59"/>
      <c r="E2" s="59"/>
      <c r="F2" s="59"/>
      <c r="G2" s="59"/>
      <c r="H2" s="33"/>
    </row>
    <row r="3" spans="1:8" ht="28.05" customHeight="1" x14ac:dyDescent="0.45">
      <c r="A3" s="61" t="s">
        <v>2</v>
      </c>
      <c r="B3" s="59"/>
      <c r="C3" s="59"/>
      <c r="D3" s="59"/>
      <c r="E3" s="59"/>
      <c r="F3" s="59"/>
      <c r="G3" s="59"/>
      <c r="H3" s="33"/>
    </row>
    <row r="4" spans="1:8" x14ac:dyDescent="0.45">
      <c r="A4" s="34" t="s">
        <v>3</v>
      </c>
      <c r="B4" s="35">
        <f>Model!$C$7*10/Model!$C$8</f>
        <v>3500</v>
      </c>
      <c r="C4" s="33"/>
      <c r="D4" s="33"/>
      <c r="E4" s="33"/>
      <c r="F4" s="33"/>
      <c r="G4" s="33"/>
      <c r="H4" s="33"/>
    </row>
    <row r="5" spans="1:8" x14ac:dyDescent="0.45">
      <c r="A5" s="33"/>
      <c r="B5" s="33"/>
      <c r="C5" s="33"/>
      <c r="D5" s="33"/>
      <c r="E5" s="33"/>
      <c r="F5" s="33"/>
      <c r="G5" s="33"/>
      <c r="H5" s="33"/>
    </row>
    <row r="6" spans="1:8" x14ac:dyDescent="0.45">
      <c r="A6" s="62" t="s">
        <v>4</v>
      </c>
      <c r="B6" s="56"/>
      <c r="C6" s="56"/>
      <c r="D6" s="56"/>
      <c r="E6" s="57"/>
      <c r="F6" s="33"/>
      <c r="G6" s="33"/>
      <c r="H6" s="33"/>
    </row>
    <row r="7" spans="1:8" x14ac:dyDescent="0.45">
      <c r="A7" s="36" t="s">
        <v>5</v>
      </c>
      <c r="B7" s="37">
        <v>1</v>
      </c>
      <c r="C7" s="37">
        <v>2</v>
      </c>
      <c r="D7" s="37">
        <v>3</v>
      </c>
      <c r="E7" s="37">
        <v>4</v>
      </c>
      <c r="F7" s="33"/>
      <c r="G7" s="33"/>
      <c r="H7" s="33"/>
    </row>
    <row r="8" spans="1:8" x14ac:dyDescent="0.45">
      <c r="A8" s="38">
        <v>0.5</v>
      </c>
      <c r="B8" s="39">
        <f ca="1">Model!$C$7/(1-$A8)*(10-SUMPRODUCT(POWER($A8,INT((ROW(INDIRECT("1:10"))-1)/B$7)+1)))/Model!$C$11/(Model!$C$7*10/Model!$C$8)</f>
        <v>1.384765625</v>
      </c>
      <c r="C8" s="39">
        <f ca="1">Model!$C$7/(1-$A8)*(10-SUMPRODUCT(POWER($A8,INT((ROW(INDIRECT("1:10"))-1)/C$7)+1)))/Model!$C$11/(Model!$C$7*10/Model!$C$8)</f>
        <v>1.2403846153846154</v>
      </c>
      <c r="D8" s="39">
        <f ca="1">Model!$C$7/(1-$A8)*(10-SUMPRODUCT(POWER($A8,INT((ROW(INDIRECT("1:10"))-1)/D$7)+1)))/Model!$C$11/(Model!$C$7*10/Model!$C$8)</f>
        <v>1.125</v>
      </c>
      <c r="E8" s="39">
        <f ca="1">Model!$C$7/(1-$A8)*(10-SUMPRODUCT(POWER($A8,INT((ROW(INDIRECT("1:10"))-1)/E$7)+1)))/Model!$C$11/(Model!$C$7*10/Model!$C$8)</f>
        <v>1.0384615384615385</v>
      </c>
      <c r="F8" s="33"/>
      <c r="G8" s="33"/>
      <c r="H8" s="33"/>
    </row>
    <row r="9" spans="1:8" x14ac:dyDescent="0.45">
      <c r="A9" s="38">
        <v>0.6</v>
      </c>
      <c r="B9" s="39">
        <f ca="1">Model!$C$7/(1-$A9)*(10-SUMPRODUCT(POWER($A9,INT((ROW(INDIRECT("1:10"))-1)/B$7)+1)))/Model!$C$11/(Model!$C$7*10/Model!$C$8)</f>
        <v>1.6363596012307693</v>
      </c>
      <c r="C9" s="39">
        <f ca="1">Model!$C$7/(1-$A9)*(10-SUMPRODUCT(POWER($A9,INT((ROW(INDIRECT("1:10"))-1)/C$7)+1)))/Model!$C$11/(Model!$C$7*10/Model!$C$8)</f>
        <v>1.3910153846153845</v>
      </c>
      <c r="D9" s="39">
        <f ca="1">Model!$C$7/(1-$A9)*(10-SUMPRODUCT(POWER($A9,INT((ROW(INDIRECT("1:10"))-1)/D$7)+1)))/Model!$C$11/(Model!$C$7*10/Model!$C$8)</f>
        <v>1.2196923076923079</v>
      </c>
      <c r="E9" s="39">
        <f ca="1">Model!$C$7/(1-$A9)*(10-SUMPRODUCT(POWER($A9,INT((ROW(INDIRECT("1:10"))-1)/E$7)+1)))/Model!$C$11/(Model!$C$7*10/Model!$C$8)</f>
        <v>1.1015384615384618</v>
      </c>
      <c r="F9" s="33"/>
      <c r="G9" s="33"/>
      <c r="H9" s="33"/>
    </row>
    <row r="10" spans="1:8" x14ac:dyDescent="0.45">
      <c r="A10" s="38">
        <v>0.7</v>
      </c>
      <c r="B10" s="39">
        <f ca="1">Model!$C$7/(1-$A10)*(10-SUMPRODUCT(POWER($A10,INT((ROW(INDIRECT("1:10"))-1)/B$7)+1)))/Model!$C$11/(Model!$C$7*10/Model!$C$8)</f>
        <v>1.9827121943846151</v>
      </c>
      <c r="C10" s="39">
        <f ca="1">Model!$C$7/(1-$A10)*(10-SUMPRODUCT(POWER($A10,INT((ROW(INDIRECT("1:10"))-1)/C$7)+1)))/Model!$C$11/(Model!$C$7*10/Model!$C$8)</f>
        <v>1.5686307692307691</v>
      </c>
      <c r="D10" s="39">
        <f ca="1">Model!$C$7/(1-$A10)*(10-SUMPRODUCT(POWER($A10,INT((ROW(INDIRECT("1:10"))-1)/D$7)+1)))/Model!$C$11/(Model!$C$7*10/Model!$C$8)</f>
        <v>1.3233076923076925</v>
      </c>
      <c r="E10" s="39">
        <f ca="1">Model!$C$7/(1-$A10)*(10-SUMPRODUCT(POWER($A10,INT((ROW(INDIRECT("1:10"))-1)/E$7)+1)))/Model!$C$11/(Model!$C$7*10/Model!$C$8)</f>
        <v>1.1676923076923078</v>
      </c>
      <c r="F10" s="33"/>
      <c r="G10" s="33"/>
      <c r="H10" s="33"/>
    </row>
    <row r="11" spans="1:8" x14ac:dyDescent="0.45">
      <c r="A11" s="38">
        <v>0.8</v>
      </c>
      <c r="B11" s="39">
        <f ca="1">Model!$C$7/(1-$A11)*(10-SUMPRODUCT(POWER($A11,INT((ROW(INDIRECT("1:10"))-1)/B$7)+1)))/Model!$C$11/(Model!$C$7*10/Model!$C$8)</f>
        <v>2.4728833575384619</v>
      </c>
      <c r="C11" s="39">
        <f ca="1">Model!$C$7/(1-$A11)*(10-SUMPRODUCT(POWER($A11,INT((ROW(INDIRECT("1:10"))-1)/C$7)+1)))/Model!$C$11/(Model!$C$7*10/Model!$C$8)</f>
        <v>1.7774769230769232</v>
      </c>
      <c r="D11" s="39">
        <f ca="1">Model!$C$7/(1-$A11)*(10-SUMPRODUCT(POWER($A11,INT((ROW(INDIRECT("1:10"))-1)/D$7)+1)))/Model!$C$11/(Model!$C$7*10/Model!$C$8)</f>
        <v>1.4363076923076921</v>
      </c>
      <c r="E11" s="39">
        <f ca="1">Model!$C$7/(1-$A11)*(10-SUMPRODUCT(POWER($A11,INT((ROW(INDIRECT("1:10"))-1)/E$7)+1)))/Model!$C$11/(Model!$C$7*10/Model!$C$8)</f>
        <v>1.2369230769230761</v>
      </c>
      <c r="F11" s="33"/>
      <c r="G11" s="33"/>
      <c r="H11" s="33"/>
    </row>
    <row r="12" spans="1:8" x14ac:dyDescent="0.45">
      <c r="A12" s="40">
        <v>0.9</v>
      </c>
      <c r="B12" s="41">
        <f ca="1">Model!$C$7/(1-$A12)*(10-SUMPRODUCT(POWER($A12,INT((ROW(INDIRECT("1:10"))-1)/B$7)+1)))/Model!$C$11/(Model!$C$7*10/Model!$C$8)</f>
        <v>3.1831584314615387</v>
      </c>
      <c r="C12" s="41">
        <f ca="1">Model!$C$7/(1-$A12)*(10-SUMPRODUCT(POWER($A12,INT((ROW(INDIRECT("1:10"))-1)/C$7)+1)))/Model!$C$11/(Model!$C$7*10/Model!$C$8)</f>
        <v>2.0221692307692298</v>
      </c>
      <c r="D12" s="41">
        <f ca="1">Model!$C$7/(1-$A12)*(10-SUMPRODUCT(POWER($A12,INT((ROW(INDIRECT("1:10"))-1)/D$7)+1)))/Model!$C$11/(Model!$C$7*10/Model!$C$8)</f>
        <v>1.5591538461538454</v>
      </c>
      <c r="E12" s="41">
        <f ca="1">Model!$C$7/(1-$A12)*(10-SUMPRODUCT(POWER($A12,INT((ROW(INDIRECT("1:10"))-1)/E$7)+1)))/Model!$C$11/(Model!$C$7*10/Model!$C$8)</f>
        <v>1.3092307692307683</v>
      </c>
      <c r="F12" s="33"/>
      <c r="G12" s="33"/>
      <c r="H12" s="33"/>
    </row>
    <row r="13" spans="1:8" ht="28.05" customHeight="1" x14ac:dyDescent="0.45">
      <c r="A13" s="61" t="s">
        <v>6</v>
      </c>
      <c r="B13" s="59"/>
      <c r="C13" s="59"/>
      <c r="D13" s="59"/>
      <c r="E13" s="59"/>
      <c r="F13" s="59"/>
      <c r="G13" s="59"/>
      <c r="H13" s="33"/>
    </row>
    <row r="14" spans="1:8" x14ac:dyDescent="0.45">
      <c r="A14" s="33"/>
      <c r="B14" s="33"/>
      <c r="C14" s="33"/>
      <c r="D14" s="33"/>
      <c r="E14" s="33"/>
      <c r="F14" s="33"/>
      <c r="G14" s="33"/>
      <c r="H14" s="33"/>
    </row>
    <row r="15" spans="1:8" x14ac:dyDescent="0.45">
      <c r="A15" s="62" t="s">
        <v>7</v>
      </c>
      <c r="B15" s="56"/>
      <c r="C15" s="56"/>
      <c r="D15" s="56"/>
      <c r="E15" s="57"/>
      <c r="F15" s="33"/>
      <c r="G15" s="33"/>
      <c r="H15" s="33"/>
    </row>
    <row r="16" spans="1:8" x14ac:dyDescent="0.45">
      <c r="A16" s="36" t="s">
        <v>5</v>
      </c>
      <c r="B16" s="37">
        <v>1</v>
      </c>
      <c r="C16" s="37">
        <v>2</v>
      </c>
      <c r="D16" s="37">
        <v>3</v>
      </c>
      <c r="E16" s="37">
        <v>4</v>
      </c>
      <c r="F16" s="33"/>
      <c r="G16" s="33"/>
      <c r="H16" s="33"/>
    </row>
    <row r="17" spans="1:8" x14ac:dyDescent="0.45">
      <c r="A17" s="38">
        <v>0.5</v>
      </c>
      <c r="B17" s="42">
        <f ca="1">Model!$C$7/(1-$A17)*(10-SUMPRODUCT(POWER($A17,INT((ROW(INDIRECT("1:10"))-1)/B$16)+1)))/Model!$C$11</f>
        <v>4846.6796875</v>
      </c>
      <c r="C17" s="42">
        <f ca="1">Model!$C$7/(1-$A17)*(10-SUMPRODUCT(POWER($A17,INT((ROW(INDIRECT("1:10"))-1)/C$16)+1)))/Model!$C$11</f>
        <v>4341.3461538461543</v>
      </c>
      <c r="D17" s="42">
        <f ca="1">Model!$C$7/(1-$A17)*(10-SUMPRODUCT(POWER($A17,INT((ROW(INDIRECT("1:10"))-1)/D$16)+1)))/Model!$C$11</f>
        <v>3937.5</v>
      </c>
      <c r="E17" s="42">
        <f ca="1">Model!$C$7/(1-$A17)*(10-SUMPRODUCT(POWER($A17,INT((ROW(INDIRECT("1:10"))-1)/E$16)+1)))/Model!$C$11</f>
        <v>3634.6153846153848</v>
      </c>
      <c r="F17" s="33"/>
      <c r="G17" s="33"/>
      <c r="H17" s="33"/>
    </row>
    <row r="18" spans="1:8" x14ac:dyDescent="0.45">
      <c r="A18" s="38">
        <v>0.6</v>
      </c>
      <c r="B18" s="42">
        <f ca="1">Model!$C$7/(1-$A18)*(10-SUMPRODUCT(POWER($A18,INT((ROW(INDIRECT("1:10"))-1)/B$16)+1)))/Model!$C$11</f>
        <v>5727.2586043076926</v>
      </c>
      <c r="C18" s="42">
        <f ca="1">Model!$C$7/(1-$A18)*(10-SUMPRODUCT(POWER($A18,INT((ROW(INDIRECT("1:10"))-1)/C$16)+1)))/Model!$C$11</f>
        <v>4868.5538461538463</v>
      </c>
      <c r="D18" s="42">
        <f ca="1">Model!$C$7/(1-$A18)*(10-SUMPRODUCT(POWER($A18,INT((ROW(INDIRECT("1:10"))-1)/D$16)+1)))/Model!$C$11</f>
        <v>4268.9230769230771</v>
      </c>
      <c r="E18" s="42">
        <f ca="1">Model!$C$7/(1-$A18)*(10-SUMPRODUCT(POWER($A18,INT((ROW(INDIRECT("1:10"))-1)/E$16)+1)))/Model!$C$11</f>
        <v>3855.3846153846162</v>
      </c>
      <c r="F18" s="33"/>
      <c r="G18" s="33"/>
      <c r="H18" s="33"/>
    </row>
    <row r="19" spans="1:8" x14ac:dyDescent="0.45">
      <c r="A19" s="38">
        <v>0.7</v>
      </c>
      <c r="B19" s="42">
        <f ca="1">Model!$C$7/(1-$A19)*(10-SUMPRODUCT(POWER($A19,INT((ROW(INDIRECT("1:10"))-1)/B$16)+1)))/Model!$C$11</f>
        <v>6939.4926803461531</v>
      </c>
      <c r="C19" s="42">
        <f ca="1">Model!$C$7/(1-$A19)*(10-SUMPRODUCT(POWER($A19,INT((ROW(INDIRECT("1:10"))-1)/C$16)+1)))/Model!$C$11</f>
        <v>5490.207692307692</v>
      </c>
      <c r="D19" s="42">
        <f ca="1">Model!$C$7/(1-$A19)*(10-SUMPRODUCT(POWER($A19,INT((ROW(INDIRECT("1:10"))-1)/D$16)+1)))/Model!$C$11</f>
        <v>4631.5769230769238</v>
      </c>
      <c r="E19" s="42">
        <f ca="1">Model!$C$7/(1-$A19)*(10-SUMPRODUCT(POWER($A19,INT((ROW(INDIRECT("1:10"))-1)/E$16)+1)))/Model!$C$11</f>
        <v>4086.9230769230771</v>
      </c>
      <c r="F19" s="33"/>
      <c r="G19" s="33"/>
      <c r="H19" s="33"/>
    </row>
    <row r="20" spans="1:8" x14ac:dyDescent="0.45">
      <c r="A20" s="38">
        <v>0.8</v>
      </c>
      <c r="B20" s="42">
        <f ca="1">Model!$C$7/(1-$A20)*(10-SUMPRODUCT(POWER($A20,INT((ROW(INDIRECT("1:10"))-1)/B$16)+1)))/Model!$C$11</f>
        <v>8655.0917513846161</v>
      </c>
      <c r="C20" s="42">
        <f ca="1">Model!$C$7/(1-$A20)*(10-SUMPRODUCT(POWER($A20,INT((ROW(INDIRECT("1:10"))-1)/C$16)+1)))/Model!$C$11</f>
        <v>6221.169230769231</v>
      </c>
      <c r="D20" s="42">
        <f ca="1">Model!$C$7/(1-$A20)*(10-SUMPRODUCT(POWER($A20,INT((ROW(INDIRECT("1:10"))-1)/D$16)+1)))/Model!$C$11</f>
        <v>5027.076923076922</v>
      </c>
      <c r="E20" s="42">
        <f ca="1">Model!$C$7/(1-$A20)*(10-SUMPRODUCT(POWER($A20,INT((ROW(INDIRECT("1:10"))-1)/E$16)+1)))/Model!$C$11</f>
        <v>4329.2307692307668</v>
      </c>
      <c r="F20" s="33"/>
      <c r="G20" s="33"/>
      <c r="H20" s="33"/>
    </row>
    <row r="21" spans="1:8" x14ac:dyDescent="0.45">
      <c r="A21" s="40">
        <v>0.9</v>
      </c>
      <c r="B21" s="43">
        <f ca="1">Model!$C$7/(1-$A21)*(10-SUMPRODUCT(POWER($A21,INT((ROW(INDIRECT("1:10"))-1)/B$16)+1)))/Model!$C$11</f>
        <v>11141.054510115386</v>
      </c>
      <c r="C21" s="43">
        <f ca="1">Model!$C$7/(1-$A21)*(10-SUMPRODUCT(POWER($A21,INT((ROW(INDIRECT("1:10"))-1)/C$16)+1)))/Model!$C$11</f>
        <v>7077.5923076923045</v>
      </c>
      <c r="D21" s="43">
        <f ca="1">Model!$C$7/(1-$A21)*(10-SUMPRODUCT(POWER($A21,INT((ROW(INDIRECT("1:10"))-1)/D$16)+1)))/Model!$C$11</f>
        <v>5457.0384615384592</v>
      </c>
      <c r="E21" s="43">
        <f ca="1">Model!$C$7/(1-$A21)*(10-SUMPRODUCT(POWER($A21,INT((ROW(INDIRECT("1:10"))-1)/E$16)+1)))/Model!$C$11</f>
        <v>4582.3076923076887</v>
      </c>
      <c r="F21" s="33"/>
      <c r="G21" s="33"/>
      <c r="H21" s="33"/>
    </row>
    <row r="22" spans="1:8" x14ac:dyDescent="0.45">
      <c r="A22" s="61" t="s">
        <v>8</v>
      </c>
      <c r="B22" s="59"/>
      <c r="C22" s="59"/>
      <c r="D22" s="59"/>
      <c r="E22" s="59"/>
      <c r="F22" s="59"/>
      <c r="G22" s="59"/>
      <c r="H22" s="33"/>
    </row>
    <row r="23" spans="1:8" x14ac:dyDescent="0.45">
      <c r="A23" s="33"/>
      <c r="B23" s="33"/>
      <c r="C23" s="33"/>
      <c r="D23" s="33"/>
      <c r="E23" s="33"/>
      <c r="F23" s="33"/>
      <c r="G23" s="33"/>
      <c r="H23" s="33"/>
    </row>
    <row r="24" spans="1:8" x14ac:dyDescent="0.45">
      <c r="A24" s="60" t="s">
        <v>9</v>
      </c>
      <c r="B24" s="59"/>
      <c r="C24" s="59"/>
      <c r="D24" s="59"/>
      <c r="E24" s="59"/>
      <c r="F24" s="59"/>
      <c r="G24" s="59"/>
      <c r="H24" s="33"/>
    </row>
    <row r="25" spans="1:8" ht="28.05" customHeight="1" x14ac:dyDescent="0.45">
      <c r="A25" s="61" t="s">
        <v>10</v>
      </c>
      <c r="B25" s="59"/>
      <c r="C25" s="59"/>
      <c r="D25" s="59"/>
      <c r="E25" s="59"/>
      <c r="F25" s="59"/>
      <c r="G25" s="59"/>
      <c r="H25" s="33"/>
    </row>
    <row r="26" spans="1:8" x14ac:dyDescent="0.45">
      <c r="A26" s="33"/>
      <c r="B26" s="33"/>
      <c r="C26" s="33"/>
      <c r="D26" s="33"/>
      <c r="E26" s="33"/>
      <c r="F26" s="33"/>
      <c r="G26" s="33"/>
      <c r="H26" s="33"/>
    </row>
    <row r="27" spans="1:8" x14ac:dyDescent="0.45">
      <c r="A27" s="45" t="s">
        <v>11</v>
      </c>
      <c r="B27" s="46">
        <v>0.5</v>
      </c>
      <c r="C27" s="46">
        <v>0.6</v>
      </c>
      <c r="D27" s="46">
        <v>0.7</v>
      </c>
      <c r="E27" s="46">
        <v>0.8</v>
      </c>
      <c r="F27" s="46">
        <v>0.9</v>
      </c>
      <c r="G27" s="33"/>
      <c r="H27" s="33"/>
    </row>
    <row r="28" spans="1:8" x14ac:dyDescent="0.45">
      <c r="A28" s="40">
        <v>0</v>
      </c>
      <c r="B28" s="43">
        <f ca="1">Model!$C$7/(1-B$27)*(10-SUMPRODUCT(POWER(B$27,INT((ROW(INDIRECT("1:10"))-1)/Model!$C$12)+1)))/(Model!$C$8*(1+$A28*Model!$C$9))</f>
        <v>5118.75</v>
      </c>
      <c r="C28" s="43">
        <f ca="1">Model!$C$7/(1-C$27)*(10-SUMPRODUCT(POWER(C$27,INT((ROW(INDIRECT("1:10"))-1)/Model!$C$12)+1)))/(Model!$C$8*(1+$A28*Model!$C$9))</f>
        <v>5549.6</v>
      </c>
      <c r="D28" s="43">
        <f ca="1">Model!$C$7/(1-D$27)*(10-SUMPRODUCT(POWER(D$27,INT((ROW(INDIRECT("1:10"))-1)/Model!$C$12)+1)))/(Model!$C$8*(1+$A28*Model!$C$9))</f>
        <v>6021.0500000000011</v>
      </c>
      <c r="E28" s="43">
        <f ca="1">Model!$C$7/(1-E$27)*(10-SUMPRODUCT(POWER(E$27,INT((ROW(INDIRECT("1:10"))-1)/Model!$C$12)+1)))/(Model!$C$8*(1+$A28*Model!$C$9))</f>
        <v>6535.199999999998</v>
      </c>
      <c r="F28" s="43">
        <f ca="1">Model!$C$7/(1-F$27)*(10-SUMPRODUCT(POWER(F$27,INT((ROW(INDIRECT("1:10"))-1)/Model!$C$12)+1)))/(Model!$C$8*(1+$A28*Model!$C$9))</f>
        <v>7094.1499999999969</v>
      </c>
      <c r="G28" s="33"/>
      <c r="H28" s="33"/>
    </row>
    <row r="29" spans="1:8" x14ac:dyDescent="0.45">
      <c r="A29" s="40">
        <v>0.25</v>
      </c>
      <c r="B29" s="43">
        <f ca="1">Model!$C$7/(1-B$27)*(10-SUMPRODUCT(POWER(B$27,INT((ROW(INDIRECT("1:10"))-1)/Model!$C$12)+1)))/(Model!$C$8*(1+$A29*Model!$C$9))</f>
        <v>4095</v>
      </c>
      <c r="C29" s="43">
        <f ca="1">Model!$C$7/(1-C$27)*(10-SUMPRODUCT(POWER(C$27,INT((ROW(INDIRECT("1:10"))-1)/Model!$C$12)+1)))/(Model!$C$8*(1+$A29*Model!$C$9))</f>
        <v>4439.68</v>
      </c>
      <c r="D29" s="43">
        <f ca="1">Model!$C$7/(1-D$27)*(10-SUMPRODUCT(POWER(D$27,INT((ROW(INDIRECT("1:10"))-1)/Model!$C$12)+1)))/(Model!$C$8*(1+$A29*Model!$C$9))</f>
        <v>4816.8400000000011</v>
      </c>
      <c r="E29" s="43">
        <f ca="1">Model!$C$7/(1-E$27)*(10-SUMPRODUCT(POWER(E$27,INT((ROW(INDIRECT("1:10"))-1)/Model!$C$12)+1)))/(Model!$C$8*(1+$A29*Model!$C$9))</f>
        <v>5228.1599999999989</v>
      </c>
      <c r="F29" s="43">
        <f ca="1">Model!$C$7/(1-F$27)*(10-SUMPRODUCT(POWER(F$27,INT((ROW(INDIRECT("1:10"))-1)/Model!$C$12)+1)))/(Model!$C$8*(1+$A29*Model!$C$9))</f>
        <v>5675.3199999999979</v>
      </c>
      <c r="G29" s="33"/>
      <c r="H29" s="33"/>
    </row>
    <row r="30" spans="1:8" x14ac:dyDescent="0.45">
      <c r="A30" s="40">
        <v>0.5</v>
      </c>
      <c r="B30" s="43">
        <f ca="1">Model!$C$7/(1-B$27)*(10-SUMPRODUCT(POWER(B$27,INT((ROW(INDIRECT("1:10"))-1)/Model!$C$12)+1)))/(Model!$C$8*(1+$A30*Model!$C$9))</f>
        <v>3412.5</v>
      </c>
      <c r="C30" s="43">
        <f ca="1">Model!$C$7/(1-C$27)*(10-SUMPRODUCT(POWER(C$27,INT((ROW(INDIRECT("1:10"))-1)/Model!$C$12)+1)))/(Model!$C$8*(1+$A30*Model!$C$9))</f>
        <v>3699.7333333333331</v>
      </c>
      <c r="D30" s="43">
        <f ca="1">Model!$C$7/(1-D$27)*(10-SUMPRODUCT(POWER(D$27,INT((ROW(INDIRECT("1:10"))-1)/Model!$C$12)+1)))/(Model!$C$8*(1+$A30*Model!$C$9))</f>
        <v>4014.0333333333338</v>
      </c>
      <c r="E30" s="43">
        <f ca="1">Model!$C$7/(1-E$27)*(10-SUMPRODUCT(POWER(E$27,INT((ROW(INDIRECT("1:10"))-1)/Model!$C$12)+1)))/(Model!$C$8*(1+$A30*Model!$C$9))</f>
        <v>4356.7999999999984</v>
      </c>
      <c r="F30" s="43">
        <f ca="1">Model!$C$7/(1-F$27)*(10-SUMPRODUCT(POWER(F$27,INT((ROW(INDIRECT("1:10"))-1)/Model!$C$12)+1)))/(Model!$C$8*(1+$A30*Model!$C$9))</f>
        <v>4729.4333333333316</v>
      </c>
      <c r="G30" s="33"/>
      <c r="H30" s="33"/>
    </row>
    <row r="31" spans="1:8" x14ac:dyDescent="0.45">
      <c r="A31" s="40">
        <v>0.75</v>
      </c>
      <c r="B31" s="43">
        <f ca="1">Model!$C$7/(1-B$27)*(10-SUMPRODUCT(POWER(B$27,INT((ROW(INDIRECT("1:10"))-1)/Model!$C$12)+1)))/(Model!$C$8*(1+$A31*Model!$C$9))</f>
        <v>2925</v>
      </c>
      <c r="C31" s="43">
        <f ca="1">Model!$C$7/(1-C$27)*(10-SUMPRODUCT(POWER(C$27,INT((ROW(INDIRECT("1:10"))-1)/Model!$C$12)+1)))/(Model!$C$8*(1+$A31*Model!$C$9))</f>
        <v>3171.2</v>
      </c>
      <c r="D31" s="43">
        <f ca="1">Model!$C$7/(1-D$27)*(10-SUMPRODUCT(POWER(D$27,INT((ROW(INDIRECT("1:10"))-1)/Model!$C$12)+1)))/(Model!$C$8*(1+$A31*Model!$C$9))</f>
        <v>3440.6000000000004</v>
      </c>
      <c r="E31" s="43">
        <f ca="1">Model!$C$7/(1-E$27)*(10-SUMPRODUCT(POWER(E$27,INT((ROW(INDIRECT("1:10"))-1)/Model!$C$12)+1)))/(Model!$C$8*(1+$A31*Model!$C$9))</f>
        <v>3734.3999999999987</v>
      </c>
      <c r="F31" s="43">
        <f ca="1">Model!$C$7/(1-F$27)*(10-SUMPRODUCT(POWER(F$27,INT((ROW(INDIRECT("1:10"))-1)/Model!$C$12)+1)))/(Model!$C$8*(1+$A31*Model!$C$9))</f>
        <v>4053.7999999999984</v>
      </c>
      <c r="G31" s="33"/>
      <c r="H31" s="33"/>
    </row>
    <row r="32" spans="1:8" x14ac:dyDescent="0.45">
      <c r="A32" s="40">
        <v>1</v>
      </c>
      <c r="B32" s="43">
        <f ca="1">Model!$C$7/(1-B$27)*(10-SUMPRODUCT(POWER(B$27,INT((ROW(INDIRECT("1:10"))-1)/Model!$C$12)+1)))/(Model!$C$8*(1+$A32*Model!$C$9))</f>
        <v>2559.375</v>
      </c>
      <c r="C32" s="43">
        <f ca="1">Model!$C$7/(1-C$27)*(10-SUMPRODUCT(POWER(C$27,INT((ROW(INDIRECT("1:10"))-1)/Model!$C$12)+1)))/(Model!$C$8*(1+$A32*Model!$C$9))</f>
        <v>2774.8</v>
      </c>
      <c r="D32" s="43">
        <f ca="1">Model!$C$7/(1-D$27)*(10-SUMPRODUCT(POWER(D$27,INT((ROW(INDIRECT("1:10"))-1)/Model!$C$12)+1)))/(Model!$C$8*(1+$A32*Model!$C$9))</f>
        <v>3010.5250000000005</v>
      </c>
      <c r="E32" s="43">
        <f ca="1">Model!$C$7/(1-E$27)*(10-SUMPRODUCT(POWER(E$27,INT((ROW(INDIRECT("1:10"))-1)/Model!$C$12)+1)))/(Model!$C$8*(1+$A32*Model!$C$9))</f>
        <v>3267.599999999999</v>
      </c>
      <c r="F32" s="43">
        <f ca="1">Model!$C$7/(1-F$27)*(10-SUMPRODUCT(POWER(F$27,INT((ROW(INDIRECT("1:10"))-1)/Model!$C$12)+1)))/(Model!$C$8*(1+$A32*Model!$C$9))</f>
        <v>3547.0749999999985</v>
      </c>
      <c r="G32" s="33"/>
      <c r="H32" s="33"/>
    </row>
    <row r="33" spans="1:8" ht="40.049999999999997" customHeight="1" x14ac:dyDescent="0.45">
      <c r="A33" s="33"/>
      <c r="B33" s="33"/>
      <c r="C33" s="33"/>
      <c r="D33" s="33"/>
      <c r="E33" s="33"/>
      <c r="F33" s="33"/>
      <c r="G33" s="33"/>
      <c r="H33" s="33"/>
    </row>
    <row r="34" spans="1:8" ht="28.05" customHeight="1" x14ac:dyDescent="0.45">
      <c r="A34" s="61" t="s">
        <v>12</v>
      </c>
      <c r="B34" s="59"/>
      <c r="C34" s="59"/>
      <c r="D34" s="59"/>
      <c r="E34" s="59"/>
      <c r="F34" s="59"/>
      <c r="G34" s="59"/>
      <c r="H34" s="33"/>
    </row>
    <row r="35" spans="1:8" x14ac:dyDescent="0.45">
      <c r="A35" s="33"/>
      <c r="B35" s="33"/>
      <c r="C35" s="33"/>
      <c r="D35" s="33"/>
      <c r="E35" s="33"/>
      <c r="F35" s="33"/>
      <c r="G35" s="33"/>
      <c r="H35" s="33"/>
    </row>
    <row r="36" spans="1:8" ht="32" customHeight="1" x14ac:dyDescent="0.45">
      <c r="A36" s="60" t="s">
        <v>13</v>
      </c>
      <c r="B36" s="59"/>
      <c r="C36" s="59"/>
      <c r="D36" s="59"/>
      <c r="E36" s="59"/>
      <c r="F36" s="59"/>
      <c r="G36" s="59"/>
      <c r="H36" s="33"/>
    </row>
    <row r="37" spans="1:8" ht="48" customHeight="1" x14ac:dyDescent="0.45">
      <c r="A37" s="61" t="s">
        <v>14</v>
      </c>
      <c r="B37" s="59"/>
      <c r="C37" s="59"/>
      <c r="D37" s="59"/>
      <c r="E37" s="59"/>
      <c r="F37" s="59"/>
      <c r="G37" s="59"/>
      <c r="H37" s="33"/>
    </row>
    <row r="38" spans="1:8" ht="28.5" customHeight="1" x14ac:dyDescent="0.45">
      <c r="A38" s="33"/>
      <c r="B38" s="33"/>
      <c r="C38" s="33"/>
      <c r="D38" s="33"/>
      <c r="E38" s="33"/>
      <c r="F38" s="33"/>
      <c r="G38" s="33"/>
      <c r="H38" s="33"/>
    </row>
    <row r="39" spans="1:8" ht="28.5" customHeight="1" x14ac:dyDescent="0.45">
      <c r="A39" s="47" t="s">
        <v>15</v>
      </c>
      <c r="B39" s="47" t="s">
        <v>16</v>
      </c>
      <c r="C39" s="47" t="s">
        <v>17</v>
      </c>
      <c r="D39" s="47" t="s">
        <v>18</v>
      </c>
      <c r="E39" s="33"/>
      <c r="F39" s="33"/>
      <c r="G39" s="33"/>
      <c r="H39" s="33"/>
    </row>
    <row r="40" spans="1:8" ht="28.5" x14ac:dyDescent="0.45">
      <c r="A40" s="48" t="s">
        <v>19</v>
      </c>
      <c r="B40" s="49">
        <f>Model!$C$7*10/Model!$C$8</f>
        <v>3500</v>
      </c>
      <c r="C40" s="50" t="s">
        <v>20</v>
      </c>
      <c r="D40" s="51" t="s">
        <v>21</v>
      </c>
      <c r="E40" s="33"/>
      <c r="F40" s="33"/>
      <c r="G40" s="33"/>
      <c r="H40" s="33"/>
    </row>
    <row r="41" spans="1:8" ht="28.5" customHeight="1" x14ac:dyDescent="0.45">
      <c r="A41" s="48" t="s">
        <v>22</v>
      </c>
      <c r="B41" s="49">
        <f ca="1">Model!$C$7/(1-Model!$C$22)*(10-SUMPRODUCT(POWER(Model!$C$22,INT((ROW(INDIRECT("1:10"))-1)/Model!$C$12)+1)))/Model!$C$11</f>
        <v>5046.0866403596901</v>
      </c>
      <c r="C41" s="52">
        <f ca="1">B41-$B$4</f>
        <v>1546.0866403596901</v>
      </c>
      <c r="D41" s="53">
        <f ca="1">B41/$B$4-1</f>
        <v>0.44173904010276854</v>
      </c>
      <c r="E41" s="33"/>
      <c r="F41" s="33"/>
      <c r="G41" s="33"/>
      <c r="H41" s="33"/>
    </row>
    <row r="42" spans="1:8" ht="28.5" customHeight="1" x14ac:dyDescent="0.45">
      <c r="A42" s="54" t="s">
        <v>23</v>
      </c>
      <c r="B42" s="43">
        <f ca="1">Model!$C$7/(1-Model!$C$22)*(10-SUMPRODUCT(POWER(Model!$C$22,INT((ROW(INDIRECT("1:10"))-1)/Model!$C$12)+1)))/(Model!$C$8*(1+0.5*Model!$C$9))</f>
        <v>4373.2750883117315</v>
      </c>
      <c r="C42" s="52">
        <f ca="1">B42-$B$4</f>
        <v>873.27508831173145</v>
      </c>
      <c r="D42" s="53">
        <f ca="1">B42/$B$4-1</f>
        <v>0.24950716808906614</v>
      </c>
      <c r="E42" s="33"/>
      <c r="F42" s="33"/>
      <c r="G42" s="33"/>
      <c r="H42" s="33"/>
    </row>
    <row r="43" spans="1:8" ht="28.5" customHeight="1" x14ac:dyDescent="0.45">
      <c r="A43" s="54" t="s">
        <v>24</v>
      </c>
      <c r="B43" s="43">
        <f ca="1">Model!$C$7/(1-Model!$C$22)*(10-SUMPRODUCT(POWER(Model!$C$22,INT((ROW(INDIRECT("1:10"))-1)/Model!$C$12)+1)))/(Model!$C$8*(1+1*Model!$C$9))</f>
        <v>3279.956316233799</v>
      </c>
      <c r="C43" s="52">
        <f ca="1">B43-$B$4</f>
        <v>-220.04368376620096</v>
      </c>
      <c r="D43" s="53">
        <f ca="1">B43/$B$4-1</f>
        <v>-6.286962393320028E-2</v>
      </c>
      <c r="E43" s="33"/>
      <c r="F43" s="33"/>
      <c r="G43" s="33"/>
      <c r="H43" s="33"/>
    </row>
    <row r="44" spans="1:8" x14ac:dyDescent="0.45">
      <c r="A44" s="54" t="s">
        <v>25</v>
      </c>
      <c r="B44" s="43">
        <f ca="1">Model!$C$7/(1-0.7)*(10-SUMPRODUCT(POWER(0.7,INT((ROW(INDIRECT("1:10"))-1)/Model!$C$12)+1)))/(Model!$C$8*(1+1*Model!$C$9))</f>
        <v>3010.5250000000005</v>
      </c>
      <c r="C44" s="52">
        <f ca="1">B44-$B$4</f>
        <v>-489.47499999999945</v>
      </c>
      <c r="D44" s="53">
        <f ca="1">B44/$B$4-1</f>
        <v>-0.13984999999999981</v>
      </c>
      <c r="E44" s="33"/>
      <c r="F44" s="33"/>
      <c r="G44" s="33"/>
      <c r="H44" s="33"/>
    </row>
    <row r="45" spans="1:8" x14ac:dyDescent="0.45">
      <c r="A45" s="54" t="s">
        <v>26</v>
      </c>
      <c r="B45" s="43">
        <f ca="1">Model!$C$7/(1-0.5)*(10-SUMPRODUCT(POWER(0.5,INT((ROW(INDIRECT("1:10"))-1)/Model!$C$12)+1)))/(Model!$C$8*(1+0.5*Model!$C$9))</f>
        <v>3412.5</v>
      </c>
      <c r="C45" s="52">
        <f ca="1">B45-$B$4</f>
        <v>-87.5</v>
      </c>
      <c r="D45" s="53">
        <f ca="1">B45/$B$4-1</f>
        <v>-2.5000000000000022E-2</v>
      </c>
      <c r="E45" s="33"/>
      <c r="F45" s="33"/>
      <c r="G45" s="33"/>
      <c r="H45" s="33"/>
    </row>
    <row r="46" spans="1:8" ht="75" customHeight="1" x14ac:dyDescent="0.45">
      <c r="A46" s="33"/>
      <c r="B46" s="33"/>
      <c r="C46" s="33"/>
      <c r="D46" s="33"/>
      <c r="E46" s="33"/>
      <c r="F46" s="33"/>
      <c r="G46" s="33"/>
      <c r="H46" s="33"/>
    </row>
    <row r="47" spans="1:8" x14ac:dyDescent="0.45">
      <c r="A47" s="34" t="s">
        <v>27</v>
      </c>
      <c r="B47" s="33"/>
      <c r="C47" s="33"/>
      <c r="D47" s="33"/>
      <c r="E47" s="33"/>
      <c r="F47" s="33"/>
      <c r="G47" s="33"/>
      <c r="H47" s="33"/>
    </row>
    <row r="48" spans="1:8" ht="65" customHeight="1" x14ac:dyDescent="0.45">
      <c r="A48" s="58" t="s">
        <v>28</v>
      </c>
      <c r="B48" s="59"/>
      <c r="C48" s="59"/>
      <c r="D48" s="59"/>
      <c r="E48" s="59"/>
      <c r="F48" s="59"/>
      <c r="G48" s="59"/>
      <c r="H48" s="33"/>
    </row>
    <row r="49" spans="1:8" x14ac:dyDescent="0.45">
      <c r="A49" s="33"/>
      <c r="B49" s="33"/>
      <c r="C49" s="33"/>
      <c r="D49" s="33"/>
      <c r="E49" s="33"/>
      <c r="F49" s="33"/>
      <c r="G49" s="33"/>
      <c r="H49" s="33"/>
    </row>
    <row r="50" spans="1:8" x14ac:dyDescent="0.45">
      <c r="A50" s="33"/>
      <c r="B50" s="33"/>
      <c r="C50" s="33"/>
      <c r="D50" s="33"/>
      <c r="E50" s="33"/>
      <c r="F50" s="33"/>
      <c r="G50" s="33"/>
      <c r="H50" s="33"/>
    </row>
    <row r="51" spans="1:8" x14ac:dyDescent="0.45">
      <c r="A51" s="33"/>
      <c r="B51" s="33"/>
      <c r="C51" s="33"/>
      <c r="D51" s="33"/>
      <c r="E51" s="33"/>
      <c r="F51" s="33"/>
      <c r="G51" s="33"/>
      <c r="H51" s="33"/>
    </row>
    <row r="52" spans="1:8" x14ac:dyDescent="0.45">
      <c r="A52" s="33"/>
      <c r="B52" s="33"/>
      <c r="C52" s="33"/>
      <c r="D52" s="33"/>
      <c r="E52" s="33"/>
      <c r="F52" s="33"/>
      <c r="G52" s="33"/>
      <c r="H52" s="33"/>
    </row>
    <row r="53" spans="1:8" x14ac:dyDescent="0.45">
      <c r="A53" s="33"/>
      <c r="B53" s="33"/>
      <c r="C53" s="33"/>
      <c r="D53" s="33"/>
      <c r="E53" s="33"/>
      <c r="F53" s="33"/>
      <c r="G53" s="33"/>
      <c r="H53" s="33"/>
    </row>
    <row r="54" spans="1:8" x14ac:dyDescent="0.45">
      <c r="A54" s="33"/>
      <c r="B54" s="33"/>
      <c r="C54" s="33"/>
      <c r="D54" s="33"/>
      <c r="E54" s="33"/>
      <c r="F54" s="33"/>
      <c r="G54" s="33"/>
      <c r="H54" s="33"/>
    </row>
    <row r="55" spans="1:8" x14ac:dyDescent="0.45">
      <c r="A55" s="33"/>
      <c r="B55" s="33"/>
      <c r="C55" s="33"/>
      <c r="D55" s="33"/>
      <c r="E55" s="33"/>
      <c r="F55" s="33"/>
      <c r="G55" s="33"/>
      <c r="H55" s="33"/>
    </row>
    <row r="56" spans="1:8" x14ac:dyDescent="0.45">
      <c r="A56" s="33"/>
      <c r="B56" s="33"/>
      <c r="C56" s="33"/>
      <c r="D56" s="33"/>
      <c r="E56" s="33"/>
      <c r="F56" s="33"/>
      <c r="G56" s="33"/>
      <c r="H56" s="33"/>
    </row>
    <row r="57" spans="1:8" x14ac:dyDescent="0.45">
      <c r="A57" s="33"/>
      <c r="B57" s="33"/>
      <c r="C57" s="33"/>
      <c r="D57" s="33"/>
      <c r="E57" s="33"/>
      <c r="F57" s="33"/>
      <c r="G57" s="33"/>
      <c r="H57" s="33"/>
    </row>
    <row r="58" spans="1:8" x14ac:dyDescent="0.45">
      <c r="A58" s="33"/>
      <c r="B58" s="33"/>
      <c r="C58" s="33"/>
      <c r="D58" s="33"/>
      <c r="E58" s="33"/>
      <c r="F58" s="33"/>
      <c r="G58" s="33"/>
      <c r="H58" s="33"/>
    </row>
    <row r="59" spans="1:8" x14ac:dyDescent="0.45">
      <c r="A59" s="33"/>
      <c r="B59" s="33"/>
      <c r="C59" s="33"/>
      <c r="D59" s="33"/>
      <c r="E59" s="33"/>
      <c r="F59" s="33"/>
      <c r="G59" s="33"/>
      <c r="H59" s="33"/>
    </row>
    <row r="60" spans="1:8" x14ac:dyDescent="0.45">
      <c r="A60" s="33"/>
      <c r="B60" s="33"/>
      <c r="C60" s="33"/>
      <c r="D60" s="33"/>
      <c r="E60" s="33"/>
      <c r="F60" s="33"/>
      <c r="G60" s="33"/>
      <c r="H60" s="33"/>
    </row>
  </sheetData>
  <mergeCells count="13">
    <mergeCell ref="A1:G1"/>
    <mergeCell ref="A3:G3"/>
    <mergeCell ref="A15:E15"/>
    <mergeCell ref="A22:G22"/>
    <mergeCell ref="A34:G34"/>
    <mergeCell ref="A48:G48"/>
    <mergeCell ref="A24:G24"/>
    <mergeCell ref="A2:G2"/>
    <mergeCell ref="A25:G25"/>
    <mergeCell ref="A6:E6"/>
    <mergeCell ref="A37:G37"/>
    <mergeCell ref="A13:G13"/>
    <mergeCell ref="A36:G3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80"/>
  <sheetViews>
    <sheetView showGridLines="0" zoomScaleNormal="100" workbookViewId="0"/>
  </sheetViews>
  <sheetFormatPr defaultColWidth="8.6640625" defaultRowHeight="14.25" x14ac:dyDescent="0.45"/>
  <cols>
    <col min="1" max="1" width="130" customWidth="1"/>
  </cols>
  <sheetData>
    <row r="1" spans="1:2" ht="17.649999999999999" customHeight="1" x14ac:dyDescent="0.45">
      <c r="A1" s="32" t="s">
        <v>92</v>
      </c>
      <c r="B1" s="33"/>
    </row>
    <row r="2" spans="1:2" x14ac:dyDescent="0.45">
      <c r="A2" s="33"/>
      <c r="B2" s="33"/>
    </row>
    <row r="3" spans="1:2" x14ac:dyDescent="0.45">
      <c r="A3" s="44" t="s">
        <v>93</v>
      </c>
      <c r="B3" s="33"/>
    </row>
    <row r="4" spans="1:2" x14ac:dyDescent="0.45">
      <c r="A4" s="54" t="s">
        <v>94</v>
      </c>
      <c r="B4" s="33"/>
    </row>
    <row r="5" spans="1:2" x14ac:dyDescent="0.45">
      <c r="A5" s="54" t="s">
        <v>95</v>
      </c>
      <c r="B5" s="33"/>
    </row>
    <row r="6" spans="1:2" x14ac:dyDescent="0.45">
      <c r="A6" s="54" t="s">
        <v>96</v>
      </c>
      <c r="B6" s="33"/>
    </row>
    <row r="7" spans="1:2" x14ac:dyDescent="0.45">
      <c r="A7" s="54" t="s">
        <v>97</v>
      </c>
      <c r="B7" s="33"/>
    </row>
    <row r="8" spans="1:2" x14ac:dyDescent="0.45">
      <c r="A8" s="54" t="s">
        <v>98</v>
      </c>
      <c r="B8" s="33"/>
    </row>
    <row r="9" spans="1:2" x14ac:dyDescent="0.45">
      <c r="A9" s="33"/>
      <c r="B9" s="33"/>
    </row>
    <row r="10" spans="1:2" x14ac:dyDescent="0.45">
      <c r="A10" s="44" t="s">
        <v>99</v>
      </c>
      <c r="B10" s="33"/>
    </row>
    <row r="11" spans="1:2" x14ac:dyDescent="0.45">
      <c r="A11" s="54" t="s">
        <v>100</v>
      </c>
      <c r="B11" s="33"/>
    </row>
    <row r="12" spans="1:2" x14ac:dyDescent="0.45">
      <c r="A12" s="54" t="s">
        <v>101</v>
      </c>
      <c r="B12" s="33"/>
    </row>
    <row r="13" spans="1:2" x14ac:dyDescent="0.45">
      <c r="A13" s="54" t="s">
        <v>102</v>
      </c>
      <c r="B13" s="33"/>
    </row>
    <row r="14" spans="1:2" x14ac:dyDescent="0.45">
      <c r="A14" s="54" t="s">
        <v>103</v>
      </c>
      <c r="B14" s="33"/>
    </row>
    <row r="15" spans="1:2" x14ac:dyDescent="0.45">
      <c r="A15" s="54" t="s">
        <v>104</v>
      </c>
      <c r="B15" s="33"/>
    </row>
    <row r="16" spans="1:2" x14ac:dyDescent="0.45">
      <c r="A16" s="54" t="s">
        <v>105</v>
      </c>
      <c r="B16" s="33"/>
    </row>
    <row r="17" spans="1:2" x14ac:dyDescent="0.45">
      <c r="A17" s="33"/>
      <c r="B17" s="33"/>
    </row>
    <row r="18" spans="1:2" x14ac:dyDescent="0.45">
      <c r="A18" s="44" t="s">
        <v>106</v>
      </c>
      <c r="B18" s="33"/>
    </row>
    <row r="19" spans="1:2" x14ac:dyDescent="0.45">
      <c r="A19" s="54" t="s">
        <v>107</v>
      </c>
      <c r="B19" s="33"/>
    </row>
    <row r="20" spans="1:2" x14ac:dyDescent="0.45">
      <c r="A20" s="54" t="s">
        <v>108</v>
      </c>
      <c r="B20" s="33"/>
    </row>
    <row r="21" spans="1:2" x14ac:dyDescent="0.45">
      <c r="A21" s="54" t="s">
        <v>109</v>
      </c>
      <c r="B21" s="33"/>
    </row>
    <row r="22" spans="1:2" x14ac:dyDescent="0.45">
      <c r="A22" s="54" t="s">
        <v>110</v>
      </c>
      <c r="B22" s="33"/>
    </row>
    <row r="23" spans="1:2" x14ac:dyDescent="0.45">
      <c r="A23" s="54" t="s">
        <v>111</v>
      </c>
      <c r="B23" s="33"/>
    </row>
    <row r="24" spans="1:2" x14ac:dyDescent="0.45">
      <c r="A24" s="54" t="s">
        <v>112</v>
      </c>
      <c r="B24" s="33"/>
    </row>
    <row r="25" spans="1:2" x14ac:dyDescent="0.45">
      <c r="A25" s="33"/>
      <c r="B25" s="33"/>
    </row>
    <row r="26" spans="1:2" x14ac:dyDescent="0.45">
      <c r="A26" s="44" t="s">
        <v>113</v>
      </c>
      <c r="B26" s="33"/>
    </row>
    <row r="27" spans="1:2" x14ac:dyDescent="0.45">
      <c r="A27" s="54" t="s">
        <v>114</v>
      </c>
      <c r="B27" s="33"/>
    </row>
    <row r="28" spans="1:2" x14ac:dyDescent="0.45">
      <c r="A28" s="54" t="s">
        <v>115</v>
      </c>
      <c r="B28" s="33"/>
    </row>
    <row r="29" spans="1:2" x14ac:dyDescent="0.45">
      <c r="A29" s="54" t="s">
        <v>116</v>
      </c>
      <c r="B29" s="33"/>
    </row>
    <row r="30" spans="1:2" x14ac:dyDescent="0.45">
      <c r="A30" s="54" t="s">
        <v>117</v>
      </c>
      <c r="B30" s="33"/>
    </row>
    <row r="31" spans="1:2" x14ac:dyDescent="0.45">
      <c r="A31" s="33"/>
      <c r="B31" s="33"/>
    </row>
    <row r="32" spans="1:2" x14ac:dyDescent="0.45">
      <c r="A32" s="44" t="s">
        <v>118</v>
      </c>
      <c r="B32" s="33"/>
    </row>
    <row r="33" spans="1:2" x14ac:dyDescent="0.45">
      <c r="A33" s="54" t="s">
        <v>119</v>
      </c>
      <c r="B33" s="33"/>
    </row>
    <row r="34" spans="1:2" x14ac:dyDescent="0.45">
      <c r="A34" s="54" t="s">
        <v>120</v>
      </c>
      <c r="B34" s="33"/>
    </row>
    <row r="35" spans="1:2" x14ac:dyDescent="0.45">
      <c r="A35" s="54" t="s">
        <v>121</v>
      </c>
      <c r="B35" s="33"/>
    </row>
    <row r="36" spans="1:2" x14ac:dyDescent="0.45">
      <c r="A36" s="54" t="s">
        <v>122</v>
      </c>
      <c r="B36" s="33"/>
    </row>
    <row r="37" spans="1:2" x14ac:dyDescent="0.45">
      <c r="A37" s="54" t="s">
        <v>123</v>
      </c>
      <c r="B37" s="33"/>
    </row>
    <row r="38" spans="1:2" x14ac:dyDescent="0.45">
      <c r="A38" s="54" t="s">
        <v>124</v>
      </c>
      <c r="B38" s="33"/>
    </row>
    <row r="39" spans="1:2" x14ac:dyDescent="0.45">
      <c r="A39" s="54" t="s">
        <v>125</v>
      </c>
      <c r="B39" s="33"/>
    </row>
    <row r="40" spans="1:2" x14ac:dyDescent="0.45">
      <c r="A40" s="33"/>
      <c r="B40" s="33"/>
    </row>
    <row r="41" spans="1:2" x14ac:dyDescent="0.45">
      <c r="A41" s="44" t="s">
        <v>126</v>
      </c>
      <c r="B41" s="33"/>
    </row>
    <row r="42" spans="1:2" x14ac:dyDescent="0.45">
      <c r="A42" s="54" t="s">
        <v>127</v>
      </c>
      <c r="B42" s="33"/>
    </row>
    <row r="43" spans="1:2" x14ac:dyDescent="0.45">
      <c r="A43" s="54" t="s">
        <v>128</v>
      </c>
      <c r="B43" s="33"/>
    </row>
    <row r="44" spans="1:2" x14ac:dyDescent="0.45">
      <c r="A44" s="54" t="s">
        <v>129</v>
      </c>
      <c r="B44" s="33"/>
    </row>
    <row r="45" spans="1:2" x14ac:dyDescent="0.45">
      <c r="A45" s="54" t="s">
        <v>130</v>
      </c>
      <c r="B45" s="33"/>
    </row>
    <row r="46" spans="1:2" x14ac:dyDescent="0.45">
      <c r="A46" s="54" t="s">
        <v>131</v>
      </c>
      <c r="B46" s="33"/>
    </row>
    <row r="47" spans="1:2" x14ac:dyDescent="0.45">
      <c r="A47" s="54" t="s">
        <v>132</v>
      </c>
      <c r="B47" s="33"/>
    </row>
    <row r="48" spans="1:2" x14ac:dyDescent="0.45">
      <c r="A48" s="54" t="s">
        <v>133</v>
      </c>
      <c r="B48" s="33"/>
    </row>
    <row r="49" spans="1:2" x14ac:dyDescent="0.45">
      <c r="A49" s="33"/>
      <c r="B49" s="33"/>
    </row>
    <row r="50" spans="1:2" x14ac:dyDescent="0.45">
      <c r="A50" s="44" t="s">
        <v>134</v>
      </c>
      <c r="B50" s="33"/>
    </row>
    <row r="51" spans="1:2" x14ac:dyDescent="0.45">
      <c r="A51" s="54" t="s">
        <v>135</v>
      </c>
      <c r="B51" s="33"/>
    </row>
    <row r="52" spans="1:2" x14ac:dyDescent="0.45">
      <c r="A52" s="54" t="s">
        <v>136</v>
      </c>
      <c r="B52" s="33"/>
    </row>
    <row r="53" spans="1:2" x14ac:dyDescent="0.45">
      <c r="A53" s="54" t="s">
        <v>137</v>
      </c>
      <c r="B53" s="33"/>
    </row>
    <row r="54" spans="1:2" x14ac:dyDescent="0.45">
      <c r="A54" s="33"/>
      <c r="B54" s="33"/>
    </row>
    <row r="55" spans="1:2" x14ac:dyDescent="0.45">
      <c r="A55" s="44" t="s">
        <v>138</v>
      </c>
      <c r="B55" s="33"/>
    </row>
    <row r="56" spans="1:2" x14ac:dyDescent="0.45">
      <c r="A56" s="54" t="s">
        <v>139</v>
      </c>
      <c r="B56" s="33"/>
    </row>
    <row r="57" spans="1:2" x14ac:dyDescent="0.45">
      <c r="A57" s="54" t="s">
        <v>140</v>
      </c>
      <c r="B57" s="33"/>
    </row>
    <row r="58" spans="1:2" x14ac:dyDescent="0.45">
      <c r="A58" s="54" t="s">
        <v>141</v>
      </c>
      <c r="B58" s="33"/>
    </row>
    <row r="59" spans="1:2" x14ac:dyDescent="0.45">
      <c r="A59" s="54" t="s">
        <v>142</v>
      </c>
      <c r="B59" s="33"/>
    </row>
    <row r="60" spans="1:2" x14ac:dyDescent="0.45">
      <c r="A60" s="54" t="s">
        <v>143</v>
      </c>
      <c r="B60" s="33"/>
    </row>
    <row r="61" spans="1:2" x14ac:dyDescent="0.45">
      <c r="A61" s="33"/>
      <c r="B61" s="33"/>
    </row>
    <row r="62" spans="1:2" x14ac:dyDescent="0.45">
      <c r="A62" s="44" t="s">
        <v>144</v>
      </c>
      <c r="B62" s="33"/>
    </row>
    <row r="63" spans="1:2" x14ac:dyDescent="0.45">
      <c r="A63" s="54" t="s">
        <v>145</v>
      </c>
      <c r="B63" s="33"/>
    </row>
    <row r="64" spans="1:2" x14ac:dyDescent="0.45">
      <c r="A64" s="54" t="s">
        <v>146</v>
      </c>
      <c r="B64" s="33"/>
    </row>
    <row r="65" spans="1:2" x14ac:dyDescent="0.45">
      <c r="A65" s="54" t="s">
        <v>147</v>
      </c>
      <c r="B65" s="33"/>
    </row>
    <row r="66" spans="1:2" x14ac:dyDescent="0.45">
      <c r="A66" s="54" t="s">
        <v>148</v>
      </c>
      <c r="B66" s="33"/>
    </row>
    <row r="67" spans="1:2" x14ac:dyDescent="0.45">
      <c r="A67" s="33"/>
      <c r="B67" s="33"/>
    </row>
    <row r="68" spans="1:2" x14ac:dyDescent="0.45">
      <c r="A68" s="44" t="s">
        <v>149</v>
      </c>
      <c r="B68" s="33"/>
    </row>
    <row r="69" spans="1:2" x14ac:dyDescent="0.45">
      <c r="A69" s="54" t="s">
        <v>150</v>
      </c>
      <c r="B69" s="33"/>
    </row>
    <row r="70" spans="1:2" x14ac:dyDescent="0.45">
      <c r="A70" s="33"/>
      <c r="B70" s="33"/>
    </row>
    <row r="71" spans="1:2" x14ac:dyDescent="0.45">
      <c r="A71" s="33"/>
      <c r="B71" s="33"/>
    </row>
    <row r="72" spans="1:2" x14ac:dyDescent="0.45">
      <c r="A72" s="33"/>
      <c r="B72" s="33"/>
    </row>
    <row r="73" spans="1:2" x14ac:dyDescent="0.45">
      <c r="A73" s="33"/>
      <c r="B73" s="33"/>
    </row>
    <row r="74" spans="1:2" x14ac:dyDescent="0.45">
      <c r="A74" s="33"/>
      <c r="B74" s="33"/>
    </row>
    <row r="75" spans="1:2" x14ac:dyDescent="0.45">
      <c r="A75" s="33"/>
      <c r="B75" s="33"/>
    </row>
    <row r="76" spans="1:2" x14ac:dyDescent="0.45">
      <c r="A76" s="33"/>
      <c r="B76" s="33"/>
    </row>
    <row r="77" spans="1:2" x14ac:dyDescent="0.45">
      <c r="A77" s="33"/>
      <c r="B77" s="33"/>
    </row>
    <row r="78" spans="1:2" x14ac:dyDescent="0.45">
      <c r="A78" s="33"/>
      <c r="B78" s="33"/>
    </row>
    <row r="79" spans="1:2" x14ac:dyDescent="0.45">
      <c r="A79" s="33"/>
      <c r="B79" s="33"/>
    </row>
    <row r="80" spans="1:2" x14ac:dyDescent="0.45">
      <c r="A80" s="33"/>
      <c r="B80" s="33"/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</vt:lpstr>
      <vt:lpstr>Sensitivity</vt:lpstr>
      <vt:lpstr>Notes &amp; Method</vt:lpstr>
      <vt:lpstr>Model!Print_Area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Christopher Freeman</cp:lastModifiedBy>
  <dcterms:created xsi:type="dcterms:W3CDTF">2026-06-09T02:37:05Z</dcterms:created>
  <dcterms:modified xsi:type="dcterms:W3CDTF">2026-06-10T13:53:08Z</dcterms:modified>
</cp:coreProperties>
</file>